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rabacuscom.sharepoint.com/sites/ColoradoSpringsCharterAcademy/Shared Documents/Budgets/25-26/"/>
    </mc:Choice>
  </mc:AlternateContent>
  <xr:revisionPtr revIDLastSave="1" documentId="8_{DC9AAD99-3473-4577-A64D-5142D800D724}" xr6:coauthVersionLast="47" xr6:coauthVersionMax="47" xr10:uidLastSave="{BED381CC-0647-4C37-93D8-FC660281D84F}"/>
  <bookViews>
    <workbookView xWindow="-120" yWindow="-120" windowWidth="29040" windowHeight="15720" tabRatio="807" xr2:uid="{7B031A97-A352-49A0-9AF1-A6D7BE915A4A}"/>
  </bookViews>
  <sheets>
    <sheet name="Budget" sheetId="1" r:id="rId1"/>
    <sheet name="Highlights" sheetId="14" r:id="rId2"/>
    <sheet name="Enrollment" sheetId="10" r:id="rId3"/>
    <sheet name="State Sources" sheetId="2" r:id="rId4"/>
    <sheet name="Federal Sources" sheetId="3" r:id="rId5"/>
    <sheet name="Local Sources" sheetId="4" state="hidden" r:id="rId6"/>
    <sheet name="Operating Expenditures" sheetId="6" state="hidden" r:id="rId7"/>
    <sheet name="Bond Intercept Schedule" sheetId="12" r:id="rId8"/>
    <sheet name="Opr Exp as of Feb 25" sheetId="15" r:id="rId9"/>
    <sheet name="Software line items" sheetId="13" state="hidden" r:id="rId10"/>
  </sheets>
  <externalReferences>
    <externalReference r:id="rId11"/>
    <externalReference r:id="rId12"/>
  </externalReferences>
  <definedNames>
    <definedName name="_xlnm.Print_Area" localSheetId="7">'Bond Intercept Schedule'!$A$1:$M$373</definedName>
    <definedName name="_xlnm.Print_Area" localSheetId="0">Budget!$A$1:$G$51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59" i="15" l="1"/>
  <c r="E249" i="15"/>
  <c r="B248" i="15"/>
  <c r="B247" i="15"/>
  <c r="D247" i="15" s="1"/>
  <c r="B246" i="15"/>
  <c r="D246" i="15" s="1"/>
  <c r="D245" i="15"/>
  <c r="B245" i="15"/>
  <c r="B244" i="15"/>
  <c r="B243" i="15"/>
  <c r="B242" i="15"/>
  <c r="B241" i="15"/>
  <c r="B240" i="15"/>
  <c r="B239" i="15"/>
  <c r="B238" i="15"/>
  <c r="D238" i="15" s="1"/>
  <c r="B237" i="15"/>
  <c r="B236" i="15"/>
  <c r="B235" i="15"/>
  <c r="B234" i="15"/>
  <c r="B233" i="15"/>
  <c r="B232" i="15"/>
  <c r="B231" i="15"/>
  <c r="B230" i="15"/>
  <c r="B229" i="15"/>
  <c r="B228" i="15"/>
  <c r="D228" i="15" s="1"/>
  <c r="B227" i="15"/>
  <c r="D227" i="15" s="1"/>
  <c r="D226" i="15"/>
  <c r="B226" i="15"/>
  <c r="B225" i="15"/>
  <c r="B224" i="15"/>
  <c r="B223" i="15"/>
  <c r="B222" i="15"/>
  <c r="D222" i="15" s="1"/>
  <c r="E221" i="15"/>
  <c r="B221" i="15"/>
  <c r="D220" i="15"/>
  <c r="B220" i="15"/>
  <c r="D219" i="15"/>
  <c r="B219" i="15"/>
  <c r="D218" i="15"/>
  <c r="B218" i="15"/>
  <c r="D217" i="15"/>
  <c r="B217" i="15"/>
  <c r="B216" i="15"/>
  <c r="D216" i="15" s="1"/>
  <c r="B215" i="15"/>
  <c r="B214" i="15"/>
  <c r="B213" i="15"/>
  <c r="B212" i="15"/>
  <c r="B211" i="15"/>
  <c r="B210" i="15"/>
  <c r="B209" i="15"/>
  <c r="B208" i="15"/>
  <c r="D207" i="15"/>
  <c r="B207" i="15"/>
  <c r="B206" i="15"/>
  <c r="B205" i="15"/>
  <c r="B204" i="15"/>
  <c r="B203" i="15"/>
  <c r="D203" i="15" s="1"/>
  <c r="B202" i="15"/>
  <c r="B201" i="15"/>
  <c r="B200" i="15"/>
  <c r="B199" i="15"/>
  <c r="B198" i="15"/>
  <c r="B197" i="15"/>
  <c r="E196" i="15"/>
  <c r="D196" i="15"/>
  <c r="B196" i="15"/>
  <c r="D195" i="15"/>
  <c r="B195" i="15"/>
  <c r="B194" i="15"/>
  <c r="D193" i="15"/>
  <c r="B193" i="15"/>
  <c r="D192" i="15"/>
  <c r="B192" i="15"/>
  <c r="D191" i="15"/>
  <c r="B191" i="15"/>
  <c r="D190" i="15"/>
  <c r="B190" i="15"/>
  <c r="D189" i="15"/>
  <c r="B189" i="15"/>
  <c r="D188" i="15"/>
  <c r="B188" i="15"/>
  <c r="D187" i="15"/>
  <c r="B187" i="15"/>
  <c r="B186" i="15"/>
  <c r="D186" i="15" s="1"/>
  <c r="D185" i="15"/>
  <c r="B185" i="15"/>
  <c r="B184" i="15"/>
  <c r="D184" i="15" s="1"/>
  <c r="D183" i="15"/>
  <c r="B183" i="15"/>
  <c r="B182" i="15"/>
  <c r="B181" i="15"/>
  <c r="E180" i="15"/>
  <c r="D180" i="15"/>
  <c r="B180" i="15"/>
  <c r="D179" i="15"/>
  <c r="B179" i="15"/>
  <c r="B178" i="15"/>
  <c r="B177" i="15"/>
  <c r="D176" i="15"/>
  <c r="B176" i="15"/>
  <c r="D175" i="15"/>
  <c r="B175" i="15"/>
  <c r="D174" i="15"/>
  <c r="B174" i="15"/>
  <c r="D173" i="15"/>
  <c r="B173" i="15"/>
  <c r="B172" i="15"/>
  <c r="B171" i="15"/>
  <c r="B170" i="15"/>
  <c r="B169" i="15"/>
  <c r="B168" i="15"/>
  <c r="B167" i="15"/>
  <c r="D166" i="15"/>
  <c r="D172" i="15" s="1"/>
  <c r="B166" i="15"/>
  <c r="B165" i="15"/>
  <c r="D165" i="15" s="1"/>
  <c r="D171" i="15" s="1"/>
  <c r="D177" i="15" s="1"/>
  <c r="B164" i="15"/>
  <c r="B163" i="15"/>
  <c r="E162" i="15"/>
  <c r="B162" i="15"/>
  <c r="E161" i="15"/>
  <c r="B161" i="15"/>
  <c r="B160" i="15"/>
  <c r="B159" i="15"/>
  <c r="B158" i="15"/>
  <c r="B157" i="15"/>
  <c r="B156" i="15"/>
  <c r="B155" i="15"/>
  <c r="B154" i="15"/>
  <c r="E153" i="15"/>
  <c r="B153" i="15"/>
  <c r="D153" i="15" s="1"/>
  <c r="D152" i="15"/>
  <c r="B152" i="15"/>
  <c r="E151" i="15"/>
  <c r="B151" i="15"/>
  <c r="D151" i="15" s="1"/>
  <c r="D150" i="15"/>
  <c r="B150" i="15"/>
  <c r="B149" i="15"/>
  <c r="B148" i="15"/>
  <c r="D147" i="15"/>
  <c r="B147" i="15"/>
  <c r="D146" i="15"/>
  <c r="B146" i="15"/>
  <c r="D145" i="15"/>
  <c r="B144" i="15"/>
  <c r="B143" i="15"/>
  <c r="D142" i="15"/>
  <c r="B142" i="15"/>
  <c r="D141" i="15"/>
  <c r="B141" i="15"/>
  <c r="D140" i="15"/>
  <c r="B140" i="15"/>
  <c r="B139" i="15"/>
  <c r="B138" i="15"/>
  <c r="B137" i="15"/>
  <c r="D136" i="15"/>
  <c r="B136" i="15"/>
  <c r="D135" i="15"/>
  <c r="B135" i="15"/>
  <c r="B134" i="15"/>
  <c r="D134" i="15" s="1"/>
  <c r="B133" i="15"/>
  <c r="D133" i="15" s="1"/>
  <c r="B132" i="15"/>
  <c r="D132" i="15" s="1"/>
  <c r="B131" i="15"/>
  <c r="D131" i="15" s="1"/>
  <c r="D130" i="15"/>
  <c r="B130" i="15"/>
  <c r="E129" i="15"/>
  <c r="B129" i="15"/>
  <c r="D129" i="15" s="1"/>
  <c r="E128" i="15"/>
  <c r="B128" i="15"/>
  <c r="D128" i="15" s="1"/>
  <c r="B127" i="15"/>
  <c r="D127" i="15" s="1"/>
  <c r="D149" i="15" s="1"/>
  <c r="E126" i="15"/>
  <c r="D126" i="15"/>
  <c r="D148" i="15" s="1"/>
  <c r="B126" i="15"/>
  <c r="B125" i="15"/>
  <c r="B124" i="15"/>
  <c r="B123" i="15"/>
  <c r="D122" i="15"/>
  <c r="D139" i="15" s="1"/>
  <c r="B122" i="15"/>
  <c r="B121" i="15"/>
  <c r="D121" i="15" s="1"/>
  <c r="D120" i="15"/>
  <c r="B120" i="15"/>
  <c r="B119" i="15"/>
  <c r="B118" i="15"/>
  <c r="B117" i="15"/>
  <c r="B116" i="15"/>
  <c r="B115" i="15"/>
  <c r="C114" i="15"/>
  <c r="B114" i="15" s="1"/>
  <c r="E113" i="15"/>
  <c r="C113" i="15"/>
  <c r="B113" i="15"/>
  <c r="E112" i="15"/>
  <c r="C112" i="15"/>
  <c r="B112" i="15"/>
  <c r="C111" i="15"/>
  <c r="B111" i="15"/>
  <c r="E110" i="15"/>
  <c r="C110" i="15"/>
  <c r="B110" i="15"/>
  <c r="E109" i="15"/>
  <c r="C109" i="15"/>
  <c r="B109" i="15" s="1"/>
  <c r="E108" i="15"/>
  <c r="C108" i="15"/>
  <c r="B108" i="15"/>
  <c r="E107" i="15"/>
  <c r="C107" i="15"/>
  <c r="B107" i="15"/>
  <c r="E106" i="15"/>
  <c r="C106" i="15"/>
  <c r="B106" i="15"/>
  <c r="E105" i="15"/>
  <c r="C105" i="15"/>
  <c r="B105" i="15"/>
  <c r="B104" i="15"/>
  <c r="E103" i="15"/>
  <c r="C103" i="15"/>
  <c r="B103" i="15" s="1"/>
  <c r="E102" i="15"/>
  <c r="C102" i="15"/>
  <c r="B102" i="15"/>
  <c r="E101" i="15"/>
  <c r="C101" i="15"/>
  <c r="D101" i="15" s="1"/>
  <c r="E100" i="15"/>
  <c r="C100" i="15"/>
  <c r="B100" i="15"/>
  <c r="E99" i="15"/>
  <c r="C99" i="15"/>
  <c r="B99" i="15"/>
  <c r="E98" i="15"/>
  <c r="C98" i="15"/>
  <c r="B98" i="15" s="1"/>
  <c r="E97" i="15"/>
  <c r="C97" i="15"/>
  <c r="B97" i="15"/>
  <c r="E96" i="15"/>
  <c r="C96" i="15"/>
  <c r="B96" i="15"/>
  <c r="E95" i="15"/>
  <c r="C95" i="15"/>
  <c r="B95" i="15"/>
  <c r="E94" i="15"/>
  <c r="C94" i="15"/>
  <c r="B94" i="15"/>
  <c r="E93" i="15"/>
  <c r="C93" i="15"/>
  <c r="B93" i="15"/>
  <c r="E92" i="15"/>
  <c r="C92" i="15"/>
  <c r="B92" i="15" s="1"/>
  <c r="E91" i="15"/>
  <c r="C91" i="15"/>
  <c r="D91" i="15" s="1"/>
  <c r="B91" i="15"/>
  <c r="E90" i="15"/>
  <c r="C90" i="15"/>
  <c r="B90" i="15"/>
  <c r="E89" i="15"/>
  <c r="C89" i="15"/>
  <c r="B89" i="15"/>
  <c r="E88" i="15"/>
  <c r="C88" i="15"/>
  <c r="D88" i="15" s="1"/>
  <c r="E87" i="15"/>
  <c r="C87" i="15"/>
  <c r="B87" i="15"/>
  <c r="B86" i="15"/>
  <c r="E85" i="15"/>
  <c r="C85" i="15"/>
  <c r="C84" i="15"/>
  <c r="B84" i="15"/>
  <c r="E83" i="15"/>
  <c r="C83" i="15"/>
  <c r="B83" i="15" s="1"/>
  <c r="C82" i="15"/>
  <c r="B82" i="15"/>
  <c r="E81" i="15"/>
  <c r="C81" i="15"/>
  <c r="B81" i="15" s="1"/>
  <c r="B80" i="15"/>
  <c r="E79" i="15"/>
  <c r="C79" i="15"/>
  <c r="B79" i="15" s="1"/>
  <c r="E78" i="15"/>
  <c r="C78" i="15"/>
  <c r="B78" i="15" s="1"/>
  <c r="C77" i="15"/>
  <c r="B77" i="15"/>
  <c r="E76" i="15"/>
  <c r="C76" i="15"/>
  <c r="B76" i="15"/>
  <c r="E75" i="15"/>
  <c r="C75" i="15"/>
  <c r="B75" i="15" s="1"/>
  <c r="E74" i="15"/>
  <c r="C74" i="15"/>
  <c r="B74" i="15"/>
  <c r="E73" i="15"/>
  <c r="C73" i="15"/>
  <c r="B73" i="15"/>
  <c r="E72" i="15"/>
  <c r="C72" i="15"/>
  <c r="B72" i="15"/>
  <c r="C71" i="15"/>
  <c r="B71" i="15"/>
  <c r="E70" i="15"/>
  <c r="C70" i="15"/>
  <c r="E69" i="15"/>
  <c r="C69" i="15"/>
  <c r="E68" i="15"/>
  <c r="C68" i="15"/>
  <c r="E67" i="15"/>
  <c r="C67" i="15"/>
  <c r="E66" i="15"/>
  <c r="C66" i="15"/>
  <c r="E65" i="15"/>
  <c r="C65" i="15"/>
  <c r="B64" i="15"/>
  <c r="E63" i="15"/>
  <c r="C63" i="15"/>
  <c r="E62" i="15"/>
  <c r="C62" i="15"/>
  <c r="B61" i="15"/>
  <c r="C60" i="15"/>
  <c r="B60" i="15"/>
  <c r="E59" i="15"/>
  <c r="C59" i="15"/>
  <c r="B59" i="15"/>
  <c r="E58" i="15"/>
  <c r="C58" i="15"/>
  <c r="E57" i="15"/>
  <c r="C57" i="15"/>
  <c r="E56" i="15"/>
  <c r="C56" i="15"/>
  <c r="E55" i="15"/>
  <c r="C55" i="15"/>
  <c r="E54" i="15"/>
  <c r="C54" i="15"/>
  <c r="B53" i="15"/>
  <c r="E52" i="15"/>
  <c r="C52" i="15"/>
  <c r="B52" i="15"/>
  <c r="E51" i="15"/>
  <c r="B51" i="15"/>
  <c r="E50" i="15"/>
  <c r="B50" i="15"/>
  <c r="E49" i="15"/>
  <c r="B49" i="15"/>
  <c r="E48" i="15"/>
  <c r="B48" i="15"/>
  <c r="E47" i="15"/>
  <c r="B47" i="15"/>
  <c r="E46" i="15"/>
  <c r="B46" i="15"/>
  <c r="E45" i="15"/>
  <c r="B45" i="15"/>
  <c r="E44" i="15"/>
  <c r="B44" i="15"/>
  <c r="E43" i="15"/>
  <c r="B43" i="15"/>
  <c r="E42" i="15"/>
  <c r="B42" i="15"/>
  <c r="B41" i="15"/>
  <c r="E40" i="15"/>
  <c r="B40" i="15"/>
  <c r="E39" i="15"/>
  <c r="B39" i="15"/>
  <c r="B38" i="15"/>
  <c r="E37" i="15"/>
  <c r="B37" i="15"/>
  <c r="E36" i="15"/>
  <c r="B36" i="15"/>
  <c r="E35" i="15"/>
  <c r="B35" i="15"/>
  <c r="C34" i="15"/>
  <c r="C249" i="15" s="1"/>
  <c r="E33" i="15"/>
  <c r="B33" i="15"/>
  <c r="E32" i="15"/>
  <c r="B32" i="15"/>
  <c r="E31" i="15"/>
  <c r="B31" i="15"/>
  <c r="E30" i="15"/>
  <c r="B30" i="15"/>
  <c r="E29" i="15"/>
  <c r="B29" i="15"/>
  <c r="E28" i="15"/>
  <c r="B28" i="15"/>
  <c r="E27" i="15"/>
  <c r="B27" i="15"/>
  <c r="E26" i="15"/>
  <c r="B26" i="15"/>
  <c r="E25" i="15"/>
  <c r="B25" i="15"/>
  <c r="E24" i="15"/>
  <c r="B24" i="15"/>
  <c r="E23" i="15"/>
  <c r="B23" i="15"/>
  <c r="E22" i="15"/>
  <c r="B22" i="15"/>
  <c r="E21" i="15"/>
  <c r="B21" i="15"/>
  <c r="E20" i="15"/>
  <c r="B20" i="15"/>
  <c r="E19" i="15"/>
  <c r="B19" i="15"/>
  <c r="E18" i="15"/>
  <c r="B18" i="15"/>
  <c r="E17" i="15"/>
  <c r="B17" i="15"/>
  <c r="E16" i="15"/>
  <c r="B16" i="15"/>
  <c r="E15" i="15"/>
  <c r="B15" i="15"/>
  <c r="E14" i="15"/>
  <c r="B14" i="15"/>
  <c r="E13" i="15"/>
  <c r="B13" i="15"/>
  <c r="E12" i="15"/>
  <c r="B12" i="15"/>
  <c r="E11" i="15"/>
  <c r="B11" i="15"/>
  <c r="E10" i="15"/>
  <c r="B10" i="15"/>
  <c r="E9" i="15"/>
  <c r="B9" i="15"/>
  <c r="E8" i="15"/>
  <c r="B8" i="15"/>
  <c r="E7" i="15"/>
  <c r="B7" i="15"/>
  <c r="E6" i="15"/>
  <c r="B6" i="15"/>
  <c r="D138" i="15" l="1"/>
  <c r="D143" i="15"/>
  <c r="D249" i="15" s="1"/>
  <c r="B34" i="15"/>
  <c r="B88" i="15"/>
  <c r="D144" i="15"/>
  <c r="D137" i="15"/>
  <c r="B101" i="15"/>
  <c r="B249" i="15" l="1"/>
  <c r="D251" i="15"/>
  <c r="C263" i="15" s="1"/>
  <c r="C264" i="15" s="1"/>
  <c r="L26" i="1" l="1"/>
  <c r="N25" i="1" l="1"/>
  <c r="F36" i="1" l="1"/>
  <c r="E21" i="1" l="1"/>
  <c r="E22" i="1"/>
  <c r="B17" i="2"/>
  <c r="G22" i="1" l="1"/>
  <c r="G24" i="1"/>
  <c r="G32" i="1"/>
  <c r="G33" i="1"/>
  <c r="G21" i="1"/>
  <c r="G10" i="1"/>
  <c r="G11" i="1"/>
  <c r="G12" i="1"/>
  <c r="G13" i="1"/>
  <c r="G14" i="1"/>
  <c r="G15" i="1"/>
  <c r="G16" i="1"/>
  <c r="G17" i="1"/>
  <c r="G7" i="1"/>
  <c r="B33" i="6" l="1"/>
  <c r="B7" i="2"/>
  <c r="B14" i="6" l="1"/>
  <c r="C11" i="10" l="1"/>
  <c r="D15" i="1"/>
  <c r="D14" i="1"/>
  <c r="J143" i="12" l="1"/>
  <c r="E27" i="1"/>
  <c r="G27" i="1" s="1"/>
  <c r="D13" i="1" l="1"/>
  <c r="D17" i="1" l="1"/>
  <c r="D16" i="1" l="1"/>
  <c r="D9" i="1"/>
  <c r="D8" i="1"/>
  <c r="D12" i="1" l="1"/>
  <c r="G4" i="6" l="1"/>
  <c r="K9" i="6"/>
  <c r="C85" i="13"/>
  <c r="C86" i="13"/>
  <c r="C87" i="13"/>
  <c r="C88" i="13"/>
  <c r="C89" i="13"/>
  <c r="C90" i="13"/>
  <c r="C91" i="13"/>
  <c r="C92" i="13"/>
  <c r="C93" i="13"/>
  <c r="C84" i="13"/>
  <c r="B84" i="13"/>
  <c r="B83" i="13"/>
  <c r="B93" i="13"/>
  <c r="B92" i="13"/>
  <c r="B91" i="13"/>
  <c r="B90" i="13"/>
  <c r="B89" i="13"/>
  <c r="B88" i="13"/>
  <c r="B87" i="13"/>
  <c r="B86" i="13"/>
  <c r="B85" i="13"/>
  <c r="E58" i="6"/>
  <c r="E57" i="6"/>
  <c r="E47" i="6"/>
  <c r="D46" i="6"/>
  <c r="E46" i="6" s="1"/>
  <c r="E54" i="6"/>
  <c r="E53" i="6"/>
  <c r="E51" i="6"/>
  <c r="E50" i="6"/>
  <c r="E49" i="6"/>
  <c r="E48" i="6"/>
  <c r="E45" i="6"/>
  <c r="E44" i="6"/>
  <c r="D93" i="6"/>
  <c r="E93" i="6" s="1"/>
  <c r="D95" i="6"/>
  <c r="E95" i="6" s="1"/>
  <c r="E91" i="6"/>
  <c r="E82" i="6"/>
  <c r="E76" i="6"/>
  <c r="E74" i="6"/>
  <c r="E73" i="6"/>
  <c r="E69" i="6"/>
  <c r="D21" i="6"/>
  <c r="E21" i="6" s="1"/>
  <c r="D68" i="6"/>
  <c r="E68" i="6" s="1"/>
  <c r="E66" i="6"/>
  <c r="E65" i="6"/>
  <c r="E64" i="6"/>
  <c r="G64" i="6"/>
  <c r="E63" i="6"/>
  <c r="E61" i="6"/>
  <c r="E60" i="6"/>
  <c r="E59" i="6"/>
  <c r="E16" i="6"/>
  <c r="E17" i="6"/>
  <c r="E41" i="6"/>
  <c r="E39" i="6"/>
  <c r="E35" i="6"/>
  <c r="E34" i="6"/>
  <c r="E31" i="6"/>
  <c r="E30" i="6"/>
  <c r="E22" i="6"/>
  <c r="E23" i="6"/>
  <c r="E24" i="6"/>
  <c r="E25" i="6"/>
  <c r="E10" i="6"/>
  <c r="E9" i="6"/>
  <c r="E8" i="6"/>
  <c r="E5" i="6"/>
  <c r="E3" i="6" l="1"/>
  <c r="F90" i="6" l="1"/>
  <c r="E90" i="6"/>
  <c r="D90" i="6"/>
  <c r="F84" i="6"/>
  <c r="F82" i="6" s="1"/>
  <c r="G82" i="6" s="1"/>
  <c r="E84" i="6"/>
  <c r="D84" i="6"/>
  <c r="F78" i="6"/>
  <c r="E78" i="6"/>
  <c r="D78" i="6"/>
  <c r="D71" i="6"/>
  <c r="F71" i="6"/>
  <c r="E71" i="6"/>
  <c r="E43" i="6"/>
  <c r="F33" i="6"/>
  <c r="E33" i="6"/>
  <c r="D33" i="6"/>
  <c r="F29" i="6"/>
  <c r="E29" i="6"/>
  <c r="D29" i="6"/>
  <c r="G91" i="6"/>
  <c r="G90" i="6" s="1"/>
  <c r="G86" i="6"/>
  <c r="G85" i="6"/>
  <c r="G80" i="6"/>
  <c r="G79" i="6"/>
  <c r="G76" i="6"/>
  <c r="G75" i="6"/>
  <c r="G74" i="6"/>
  <c r="G73" i="6"/>
  <c r="G72" i="6"/>
  <c r="G67" i="6"/>
  <c r="G66" i="6"/>
  <c r="G63" i="6"/>
  <c r="G58" i="6"/>
  <c r="G57" i="6"/>
  <c r="G56" i="6"/>
  <c r="G55" i="6"/>
  <c r="G54" i="6"/>
  <c r="G53" i="6"/>
  <c r="G52" i="6"/>
  <c r="G51" i="6"/>
  <c r="G50" i="6"/>
  <c r="G49" i="6"/>
  <c r="G48" i="6"/>
  <c r="G46" i="6"/>
  <c r="G45" i="6"/>
  <c r="G44" i="6"/>
  <c r="G41" i="6"/>
  <c r="G39" i="6"/>
  <c r="G35" i="6"/>
  <c r="G34" i="6"/>
  <c r="G31" i="6"/>
  <c r="G30" i="6"/>
  <c r="G26" i="6"/>
  <c r="G25" i="6"/>
  <c r="G24" i="6"/>
  <c r="G23" i="6"/>
  <c r="G22" i="6"/>
  <c r="G21" i="6"/>
  <c r="G20" i="6"/>
  <c r="G19" i="6"/>
  <c r="G18" i="6"/>
  <c r="G17" i="6"/>
  <c r="G16" i="6"/>
  <c r="G11" i="6"/>
  <c r="G10" i="6"/>
  <c r="G3" i="6"/>
  <c r="J155" i="12"/>
  <c r="G93" i="6"/>
  <c r="B95" i="6"/>
  <c r="G95" i="6" s="1"/>
  <c r="F161" i="12"/>
  <c r="C372" i="12"/>
  <c r="B372" i="12"/>
  <c r="H371" i="12"/>
  <c r="E371" i="12"/>
  <c r="D371" i="12"/>
  <c r="F371" i="12" s="1"/>
  <c r="I371" i="12" s="1"/>
  <c r="F370" i="12"/>
  <c r="E370" i="12"/>
  <c r="D370" i="12"/>
  <c r="E369" i="12"/>
  <c r="D369" i="12"/>
  <c r="F369" i="12" s="1"/>
  <c r="E368" i="12"/>
  <c r="F368" i="12" s="1"/>
  <c r="D368" i="12"/>
  <c r="E367" i="12"/>
  <c r="D367" i="12"/>
  <c r="F367" i="12" s="1"/>
  <c r="F366" i="12"/>
  <c r="E366" i="12"/>
  <c r="D366" i="12"/>
  <c r="E365" i="12"/>
  <c r="D365" i="12"/>
  <c r="E364" i="12"/>
  <c r="F364" i="12" s="1"/>
  <c r="D364" i="12"/>
  <c r="E363" i="12"/>
  <c r="D363" i="12"/>
  <c r="F363" i="12" s="1"/>
  <c r="F362" i="12"/>
  <c r="E362" i="12"/>
  <c r="D362" i="12"/>
  <c r="E361" i="12"/>
  <c r="D361" i="12"/>
  <c r="E360" i="12"/>
  <c r="F360" i="12" s="1"/>
  <c r="D360" i="12"/>
  <c r="E359" i="12"/>
  <c r="D359" i="12"/>
  <c r="F359" i="12" s="1"/>
  <c r="E358" i="12"/>
  <c r="D358" i="12"/>
  <c r="F358" i="12" s="1"/>
  <c r="F357" i="12"/>
  <c r="E357" i="12"/>
  <c r="D357" i="12"/>
  <c r="E356" i="12"/>
  <c r="D356" i="12"/>
  <c r="F356" i="12" s="1"/>
  <c r="E355" i="12"/>
  <c r="D355" i="12"/>
  <c r="F355" i="12" s="1"/>
  <c r="E354" i="12"/>
  <c r="D354" i="12"/>
  <c r="F354" i="12" s="1"/>
  <c r="F353" i="12"/>
  <c r="E353" i="12"/>
  <c r="D353" i="12"/>
  <c r="E352" i="12"/>
  <c r="D352" i="12"/>
  <c r="F352" i="12" s="1"/>
  <c r="E351" i="12"/>
  <c r="D351" i="12"/>
  <c r="F351" i="12" s="1"/>
  <c r="E350" i="12"/>
  <c r="D350" i="12"/>
  <c r="F350" i="12" s="1"/>
  <c r="F349" i="12"/>
  <c r="E349" i="12"/>
  <c r="D349" i="12"/>
  <c r="E348" i="12"/>
  <c r="D348" i="12"/>
  <c r="F348" i="12" s="1"/>
  <c r="E347" i="12"/>
  <c r="F347" i="12" s="1"/>
  <c r="D347" i="12"/>
  <c r="E346" i="12"/>
  <c r="D346" i="12"/>
  <c r="F346" i="12" s="1"/>
  <c r="F345" i="12"/>
  <c r="E345" i="12"/>
  <c r="D345" i="12"/>
  <c r="E344" i="12"/>
  <c r="D344" i="12"/>
  <c r="F344" i="12" s="1"/>
  <c r="E343" i="12"/>
  <c r="F343" i="12" s="1"/>
  <c r="D343" i="12"/>
  <c r="E342" i="12"/>
  <c r="D342" i="12"/>
  <c r="F342" i="12" s="1"/>
  <c r="F341" i="12"/>
  <c r="E341" i="12"/>
  <c r="D341" i="12"/>
  <c r="E340" i="12"/>
  <c r="D340" i="12"/>
  <c r="F339" i="12"/>
  <c r="E339" i="12"/>
  <c r="D339" i="12"/>
  <c r="E338" i="12"/>
  <c r="D338" i="12"/>
  <c r="F338" i="12" s="1"/>
  <c r="F337" i="12"/>
  <c r="E337" i="12"/>
  <c r="D337" i="12"/>
  <c r="E336" i="12"/>
  <c r="D336" i="12"/>
  <c r="E335" i="12"/>
  <c r="D335" i="12"/>
  <c r="F335" i="12" s="1"/>
  <c r="E334" i="12"/>
  <c r="D334" i="12"/>
  <c r="F334" i="12" s="1"/>
  <c r="F333" i="12"/>
  <c r="E333" i="12"/>
  <c r="D333" i="12"/>
  <c r="F332" i="12"/>
  <c r="E332" i="12"/>
  <c r="D332" i="12"/>
  <c r="E331" i="12"/>
  <c r="D331" i="12"/>
  <c r="F331" i="12" s="1"/>
  <c r="E330" i="12"/>
  <c r="D330" i="12"/>
  <c r="F330" i="12" s="1"/>
  <c r="F329" i="12"/>
  <c r="E329" i="12"/>
  <c r="D329" i="12"/>
  <c r="F328" i="12"/>
  <c r="E328" i="12"/>
  <c r="D328" i="12"/>
  <c r="E327" i="12"/>
  <c r="D327" i="12"/>
  <c r="F327" i="12" s="1"/>
  <c r="E326" i="12"/>
  <c r="D326" i="12"/>
  <c r="F326" i="12" s="1"/>
  <c r="F325" i="12"/>
  <c r="E325" i="12"/>
  <c r="D325" i="12"/>
  <c r="F324" i="12"/>
  <c r="E324" i="12"/>
  <c r="D324" i="12"/>
  <c r="E323" i="12"/>
  <c r="D323" i="12"/>
  <c r="F323" i="12" s="1"/>
  <c r="F322" i="12"/>
  <c r="E322" i="12"/>
  <c r="D322" i="12"/>
  <c r="E321" i="12"/>
  <c r="D321" i="12"/>
  <c r="F321" i="12" s="1"/>
  <c r="E320" i="12"/>
  <c r="F320" i="12" s="1"/>
  <c r="D320" i="12"/>
  <c r="E319" i="12"/>
  <c r="D319" i="12"/>
  <c r="F318" i="12"/>
  <c r="E318" i="12"/>
  <c r="D318" i="12"/>
  <c r="E317" i="12"/>
  <c r="D317" i="12"/>
  <c r="F317" i="12" s="1"/>
  <c r="E316" i="12"/>
  <c r="F316" i="12" s="1"/>
  <c r="D316" i="12"/>
  <c r="E315" i="12"/>
  <c r="D315" i="12"/>
  <c r="F315" i="12" s="1"/>
  <c r="F314" i="12"/>
  <c r="E314" i="12"/>
  <c r="D314" i="12"/>
  <c r="E313" i="12"/>
  <c r="D313" i="12"/>
  <c r="F313" i="12" s="1"/>
  <c r="E312" i="12"/>
  <c r="F312" i="12" s="1"/>
  <c r="D312" i="12"/>
  <c r="F311" i="12"/>
  <c r="E311" i="12"/>
  <c r="D311" i="12"/>
  <c r="E310" i="12"/>
  <c r="D310" i="12"/>
  <c r="F310" i="12" s="1"/>
  <c r="E309" i="12"/>
  <c r="D309" i="12"/>
  <c r="F309" i="12" s="1"/>
  <c r="F308" i="12"/>
  <c r="E308" i="12"/>
  <c r="D308" i="12"/>
  <c r="F307" i="12"/>
  <c r="E307" i="12"/>
  <c r="D307" i="12"/>
  <c r="E306" i="12"/>
  <c r="D306" i="12"/>
  <c r="F306" i="12" s="1"/>
  <c r="E305" i="12"/>
  <c r="D305" i="12"/>
  <c r="F305" i="12" s="1"/>
  <c r="F304" i="12"/>
  <c r="E304" i="12"/>
  <c r="D304" i="12"/>
  <c r="F303" i="12"/>
  <c r="E303" i="12"/>
  <c r="D303" i="12"/>
  <c r="E302" i="12"/>
  <c r="D302" i="12"/>
  <c r="F302" i="12" s="1"/>
  <c r="E301" i="12"/>
  <c r="D301" i="12"/>
  <c r="F301" i="12" s="1"/>
  <c r="F300" i="12"/>
  <c r="E300" i="12"/>
  <c r="D300" i="12"/>
  <c r="E299" i="12"/>
  <c r="D299" i="12"/>
  <c r="F299" i="12" s="1"/>
  <c r="E298" i="12"/>
  <c r="D298" i="12"/>
  <c r="F297" i="12"/>
  <c r="E297" i="12"/>
  <c r="D297" i="12"/>
  <c r="E296" i="12"/>
  <c r="D296" i="12"/>
  <c r="F296" i="12" s="1"/>
  <c r="E295" i="12"/>
  <c r="D295" i="12"/>
  <c r="F295" i="12" s="1"/>
  <c r="E294" i="12"/>
  <c r="F294" i="12" s="1"/>
  <c r="D294" i="12"/>
  <c r="F293" i="12"/>
  <c r="E293" i="12"/>
  <c r="D293" i="12"/>
  <c r="E292" i="12"/>
  <c r="D292" i="12"/>
  <c r="F292" i="12" s="1"/>
  <c r="E291" i="12"/>
  <c r="D291" i="12"/>
  <c r="F291" i="12" s="1"/>
  <c r="E290" i="12"/>
  <c r="F290" i="12" s="1"/>
  <c r="D290" i="12"/>
  <c r="F289" i="12"/>
  <c r="E289" i="12"/>
  <c r="D289" i="12"/>
  <c r="E288" i="12"/>
  <c r="D288" i="12"/>
  <c r="F288" i="12" s="1"/>
  <c r="F287" i="12"/>
  <c r="E287" i="12"/>
  <c r="D287" i="12"/>
  <c r="F286" i="12"/>
  <c r="E286" i="12"/>
  <c r="D286" i="12"/>
  <c r="E285" i="12"/>
  <c r="D285" i="12"/>
  <c r="F285" i="12" s="1"/>
  <c r="E284" i="12"/>
  <c r="D284" i="12"/>
  <c r="F284" i="12" s="1"/>
  <c r="F283" i="12"/>
  <c r="E283" i="12"/>
  <c r="D283" i="12"/>
  <c r="F282" i="12"/>
  <c r="E282" i="12"/>
  <c r="D282" i="12"/>
  <c r="E281" i="12"/>
  <c r="D281" i="12"/>
  <c r="F281" i="12" s="1"/>
  <c r="E280" i="12"/>
  <c r="D280" i="12"/>
  <c r="F280" i="12" s="1"/>
  <c r="F279" i="12"/>
  <c r="E279" i="12"/>
  <c r="D279" i="12"/>
  <c r="F278" i="12"/>
  <c r="E278" i="12"/>
  <c r="D278" i="12"/>
  <c r="E277" i="12"/>
  <c r="D277" i="12"/>
  <c r="F277" i="12" s="1"/>
  <c r="E276" i="12"/>
  <c r="D276" i="12"/>
  <c r="F276" i="12" s="1"/>
  <c r="E275" i="12"/>
  <c r="D275" i="12"/>
  <c r="F275" i="12" s="1"/>
  <c r="E274" i="12"/>
  <c r="D274" i="12"/>
  <c r="F274" i="12" s="1"/>
  <c r="E273" i="12"/>
  <c r="F273" i="12" s="1"/>
  <c r="D273" i="12"/>
  <c r="E272" i="12"/>
  <c r="F272" i="12" s="1"/>
  <c r="D272" i="12"/>
  <c r="E271" i="12"/>
  <c r="D271" i="12"/>
  <c r="F271" i="12" s="1"/>
  <c r="E270" i="12"/>
  <c r="D270" i="12"/>
  <c r="F270" i="12" s="1"/>
  <c r="E269" i="12"/>
  <c r="F269" i="12" s="1"/>
  <c r="D269" i="12"/>
  <c r="E268" i="12"/>
  <c r="F268" i="12" s="1"/>
  <c r="D268" i="12"/>
  <c r="E267" i="12"/>
  <c r="D267" i="12"/>
  <c r="F267" i="12" s="1"/>
  <c r="E266" i="12"/>
  <c r="D266" i="12"/>
  <c r="F266" i="12" s="1"/>
  <c r="E265" i="12"/>
  <c r="F265" i="12" s="1"/>
  <c r="D265" i="12"/>
  <c r="E264" i="12"/>
  <c r="F264" i="12" s="1"/>
  <c r="D264" i="12"/>
  <c r="E263" i="12"/>
  <c r="D263" i="12"/>
  <c r="F263" i="12" s="1"/>
  <c r="F262" i="12"/>
  <c r="E262" i="12"/>
  <c r="D262" i="12"/>
  <c r="F261" i="12"/>
  <c r="E261" i="12"/>
  <c r="D261" i="12"/>
  <c r="E260" i="12"/>
  <c r="D260" i="12"/>
  <c r="F260" i="12" s="1"/>
  <c r="E259" i="12"/>
  <c r="D259" i="12"/>
  <c r="F259" i="12" s="1"/>
  <c r="F258" i="12"/>
  <c r="E258" i="12"/>
  <c r="D258" i="12"/>
  <c r="F257" i="12"/>
  <c r="E257" i="12"/>
  <c r="D257" i="12"/>
  <c r="E256" i="12"/>
  <c r="D256" i="12"/>
  <c r="F256" i="12" s="1"/>
  <c r="E255" i="12"/>
  <c r="D255" i="12"/>
  <c r="F255" i="12" s="1"/>
  <c r="F254" i="12"/>
  <c r="E254" i="12"/>
  <c r="D254" i="12"/>
  <c r="F253" i="12"/>
  <c r="E253" i="12"/>
  <c r="D253" i="12"/>
  <c r="E252" i="12"/>
  <c r="D252" i="12"/>
  <c r="F252" i="12" s="1"/>
  <c r="E251" i="12"/>
  <c r="F251" i="12" s="1"/>
  <c r="D251" i="12"/>
  <c r="E250" i="12"/>
  <c r="D250" i="12"/>
  <c r="F250" i="12" s="1"/>
  <c r="E249" i="12"/>
  <c r="D249" i="12"/>
  <c r="F249" i="12" s="1"/>
  <c r="E248" i="12"/>
  <c r="F248" i="12" s="1"/>
  <c r="D248" i="12"/>
  <c r="F247" i="12"/>
  <c r="E247" i="12"/>
  <c r="D247" i="12"/>
  <c r="E246" i="12"/>
  <c r="D246" i="12"/>
  <c r="F246" i="12" s="1"/>
  <c r="E245" i="12"/>
  <c r="D245" i="12"/>
  <c r="F245" i="12" s="1"/>
  <c r="E244" i="12"/>
  <c r="F244" i="12" s="1"/>
  <c r="D244" i="12"/>
  <c r="F243" i="12"/>
  <c r="E243" i="12"/>
  <c r="D243" i="12"/>
  <c r="E242" i="12"/>
  <c r="D242" i="12"/>
  <c r="F242" i="12" s="1"/>
  <c r="E241" i="12"/>
  <c r="D241" i="12"/>
  <c r="F241" i="12" s="1"/>
  <c r="E240" i="12"/>
  <c r="D240" i="12"/>
  <c r="F240" i="12" s="1"/>
  <c r="E239" i="12"/>
  <c r="D239" i="12"/>
  <c r="F239" i="12" s="1"/>
  <c r="E238" i="12"/>
  <c r="D238" i="12"/>
  <c r="F238" i="12" s="1"/>
  <c r="F237" i="12"/>
  <c r="E237" i="12"/>
  <c r="D237" i="12"/>
  <c r="F236" i="12"/>
  <c r="E236" i="12"/>
  <c r="D236" i="12"/>
  <c r="E235" i="12"/>
  <c r="D235" i="12"/>
  <c r="F235" i="12" s="1"/>
  <c r="E234" i="12"/>
  <c r="D234" i="12"/>
  <c r="F234" i="12" s="1"/>
  <c r="F233" i="12"/>
  <c r="E233" i="12"/>
  <c r="D233" i="12"/>
  <c r="F232" i="12"/>
  <c r="E232" i="12"/>
  <c r="D232" i="12"/>
  <c r="E231" i="12"/>
  <c r="D231" i="12"/>
  <c r="F231" i="12" s="1"/>
  <c r="E230" i="12"/>
  <c r="D230" i="12"/>
  <c r="F230" i="12" s="1"/>
  <c r="F229" i="12"/>
  <c r="E229" i="12"/>
  <c r="D229" i="12"/>
  <c r="E228" i="12"/>
  <c r="D228" i="12"/>
  <c r="F228" i="12" s="1"/>
  <c r="E227" i="12"/>
  <c r="D227" i="12"/>
  <c r="E226" i="12"/>
  <c r="F226" i="12" s="1"/>
  <c r="D226" i="12"/>
  <c r="E225" i="12"/>
  <c r="D225" i="12"/>
  <c r="F225" i="12" s="1"/>
  <c r="E224" i="12"/>
  <c r="D224" i="12"/>
  <c r="E223" i="12"/>
  <c r="F223" i="12" s="1"/>
  <c r="D223" i="12"/>
  <c r="E222" i="12"/>
  <c r="F222" i="12" s="1"/>
  <c r="D222" i="12"/>
  <c r="E221" i="12"/>
  <c r="D221" i="12"/>
  <c r="F221" i="12" s="1"/>
  <c r="E220" i="12"/>
  <c r="D220" i="12"/>
  <c r="E219" i="12"/>
  <c r="F219" i="12" s="1"/>
  <c r="D219" i="12"/>
  <c r="E218" i="12"/>
  <c r="F218" i="12" s="1"/>
  <c r="D218" i="12"/>
  <c r="E217" i="12"/>
  <c r="D217" i="12"/>
  <c r="F217" i="12" s="1"/>
  <c r="E216" i="12"/>
  <c r="D216" i="12"/>
  <c r="F215" i="12"/>
  <c r="E215" i="12"/>
  <c r="D215" i="12"/>
  <c r="E214" i="12"/>
  <c r="D214" i="12"/>
  <c r="F214" i="12" s="1"/>
  <c r="E213" i="12"/>
  <c r="D213" i="12"/>
  <c r="F212" i="12"/>
  <c r="E212" i="12"/>
  <c r="D212" i="12"/>
  <c r="F211" i="12"/>
  <c r="E211" i="12"/>
  <c r="D211" i="12"/>
  <c r="E210" i="12"/>
  <c r="D210" i="12"/>
  <c r="F210" i="12" s="1"/>
  <c r="E209" i="12"/>
  <c r="D209" i="12"/>
  <c r="E208" i="12"/>
  <c r="D208" i="12"/>
  <c r="F208" i="12" s="1"/>
  <c r="F207" i="12"/>
  <c r="E207" i="12"/>
  <c r="D207" i="12"/>
  <c r="E206" i="12"/>
  <c r="D206" i="12"/>
  <c r="F206" i="12" s="1"/>
  <c r="E205" i="12"/>
  <c r="D205" i="12"/>
  <c r="F205" i="12" s="1"/>
  <c r="E204" i="12"/>
  <c r="D204" i="12"/>
  <c r="F204" i="12" s="1"/>
  <c r="F203" i="12"/>
  <c r="E203" i="12"/>
  <c r="D203" i="12"/>
  <c r="E202" i="12"/>
  <c r="D202" i="12"/>
  <c r="F202" i="12" s="1"/>
  <c r="E201" i="12"/>
  <c r="D201" i="12"/>
  <c r="F201" i="12" s="1"/>
  <c r="F200" i="12"/>
  <c r="E200" i="12"/>
  <c r="D200" i="12"/>
  <c r="F199" i="12"/>
  <c r="E199" i="12"/>
  <c r="D199" i="12"/>
  <c r="E198" i="12"/>
  <c r="D198" i="12"/>
  <c r="F198" i="12" s="1"/>
  <c r="E197" i="12"/>
  <c r="D197" i="12"/>
  <c r="F197" i="12" s="1"/>
  <c r="F196" i="12"/>
  <c r="E196" i="12"/>
  <c r="D196" i="12"/>
  <c r="F195" i="12"/>
  <c r="E195" i="12"/>
  <c r="D195" i="12"/>
  <c r="E194" i="12"/>
  <c r="D194" i="12"/>
  <c r="F194" i="12" s="1"/>
  <c r="E193" i="12"/>
  <c r="D193" i="12"/>
  <c r="F193" i="12" s="1"/>
  <c r="F192" i="12"/>
  <c r="E192" i="12"/>
  <c r="D192" i="12"/>
  <c r="E191" i="12"/>
  <c r="D191" i="12"/>
  <c r="F191" i="12" s="1"/>
  <c r="E190" i="12"/>
  <c r="F190" i="12" s="1"/>
  <c r="D190" i="12"/>
  <c r="E189" i="12"/>
  <c r="D189" i="12"/>
  <c r="F189" i="12" s="1"/>
  <c r="E188" i="12"/>
  <c r="D188" i="12"/>
  <c r="F188" i="12" s="1"/>
  <c r="E187" i="12"/>
  <c r="D187" i="12"/>
  <c r="F187" i="12" s="1"/>
  <c r="E186" i="12"/>
  <c r="F186" i="12" s="1"/>
  <c r="D186" i="12"/>
  <c r="E185" i="12"/>
  <c r="D185" i="12"/>
  <c r="F185" i="12" s="1"/>
  <c r="E184" i="12"/>
  <c r="D184" i="12"/>
  <c r="F184" i="12" s="1"/>
  <c r="E183" i="12"/>
  <c r="D183" i="12"/>
  <c r="F183" i="12" s="1"/>
  <c r="E182" i="12"/>
  <c r="F182" i="12" s="1"/>
  <c r="D182" i="12"/>
  <c r="E181" i="12"/>
  <c r="D181" i="12"/>
  <c r="F181" i="12" s="1"/>
  <c r="E180" i="12"/>
  <c r="D180" i="12"/>
  <c r="F180" i="12" s="1"/>
  <c r="F179" i="12"/>
  <c r="E179" i="12"/>
  <c r="D179" i="12"/>
  <c r="F178" i="12"/>
  <c r="E178" i="12"/>
  <c r="D178" i="12"/>
  <c r="E177" i="12"/>
  <c r="D177" i="12"/>
  <c r="F177" i="12" s="1"/>
  <c r="E176" i="12"/>
  <c r="D176" i="12"/>
  <c r="F176" i="12" s="1"/>
  <c r="F175" i="12"/>
  <c r="E175" i="12"/>
  <c r="D175" i="12"/>
  <c r="F174" i="12"/>
  <c r="E174" i="12"/>
  <c r="D174" i="12"/>
  <c r="E173" i="12"/>
  <c r="D173" i="12"/>
  <c r="F173" i="12" s="1"/>
  <c r="E172" i="12"/>
  <c r="D172" i="12"/>
  <c r="F172" i="12" s="1"/>
  <c r="F171" i="12"/>
  <c r="E171" i="12"/>
  <c r="D171" i="12"/>
  <c r="F170" i="12"/>
  <c r="E170" i="12"/>
  <c r="D170" i="12"/>
  <c r="E169" i="12"/>
  <c r="D169" i="12"/>
  <c r="F169" i="12" s="1"/>
  <c r="E168" i="12"/>
  <c r="D168" i="12"/>
  <c r="F168" i="12" s="1"/>
  <c r="E167" i="12"/>
  <c r="D167" i="12"/>
  <c r="F167" i="12" s="1"/>
  <c r="E166" i="12"/>
  <c r="D166" i="12"/>
  <c r="F166" i="12" s="1"/>
  <c r="E165" i="12"/>
  <c r="F165" i="12" s="1"/>
  <c r="D165" i="12"/>
  <c r="E164" i="12"/>
  <c r="D164" i="12"/>
  <c r="F164" i="12" s="1"/>
  <c r="E163" i="12"/>
  <c r="D163" i="12"/>
  <c r="F163" i="12" s="1"/>
  <c r="E162" i="12"/>
  <c r="D162" i="12"/>
  <c r="F162" i="12" s="1"/>
  <c r="E161" i="12"/>
  <c r="D161" i="12"/>
  <c r="E160" i="12"/>
  <c r="D160" i="12"/>
  <c r="F160" i="12" s="1"/>
  <c r="E159" i="12"/>
  <c r="D159" i="12"/>
  <c r="F159" i="12" s="1"/>
  <c r="E158" i="12"/>
  <c r="D158" i="12"/>
  <c r="F158" i="12" s="1"/>
  <c r="E157" i="12"/>
  <c r="F157" i="12" s="1"/>
  <c r="D157" i="12"/>
  <c r="E156" i="12"/>
  <c r="D156" i="12"/>
  <c r="F156" i="12" s="1"/>
  <c r="J167" i="12" s="1"/>
  <c r="E155" i="12"/>
  <c r="D155" i="12"/>
  <c r="F155" i="12" s="1"/>
  <c r="F154" i="12"/>
  <c r="E154" i="12"/>
  <c r="D154" i="12"/>
  <c r="F153" i="12"/>
  <c r="E153" i="12"/>
  <c r="D153" i="12"/>
  <c r="E152" i="12"/>
  <c r="D152" i="12"/>
  <c r="F152" i="12" s="1"/>
  <c r="E151" i="12"/>
  <c r="D151" i="12"/>
  <c r="F151" i="12" s="1"/>
  <c r="F150" i="12"/>
  <c r="E150" i="12"/>
  <c r="D150" i="12"/>
  <c r="F149" i="12"/>
  <c r="E149" i="12"/>
  <c r="D149" i="12"/>
  <c r="E148" i="12"/>
  <c r="D148" i="12"/>
  <c r="F148" i="12" s="1"/>
  <c r="E147" i="12"/>
  <c r="D147" i="12"/>
  <c r="F147" i="12" s="1"/>
  <c r="F146" i="12"/>
  <c r="E146" i="12"/>
  <c r="D146" i="12"/>
  <c r="F145" i="12"/>
  <c r="E145" i="12"/>
  <c r="D145" i="12"/>
  <c r="E144" i="12"/>
  <c r="D144" i="12"/>
  <c r="F144" i="12" s="1"/>
  <c r="E143" i="12"/>
  <c r="D143" i="12"/>
  <c r="F143" i="12" s="1"/>
  <c r="E142" i="12"/>
  <c r="D142" i="12"/>
  <c r="F142" i="12" s="1"/>
  <c r="E141" i="12"/>
  <c r="D141" i="12"/>
  <c r="F141" i="12" s="1"/>
  <c r="E140" i="12"/>
  <c r="F140" i="12" s="1"/>
  <c r="D140" i="12"/>
  <c r="E139" i="12"/>
  <c r="D139" i="12"/>
  <c r="F139" i="12" s="1"/>
  <c r="E138" i="12"/>
  <c r="D138" i="12"/>
  <c r="F138" i="12" s="1"/>
  <c r="E137" i="12"/>
  <c r="D137" i="12"/>
  <c r="F137" i="12" s="1"/>
  <c r="E136" i="12"/>
  <c r="F136" i="12" s="1"/>
  <c r="D136" i="12"/>
  <c r="E135" i="12"/>
  <c r="D135" i="12"/>
  <c r="F135" i="12" s="1"/>
  <c r="E134" i="12"/>
  <c r="D134" i="12"/>
  <c r="F134" i="12" s="1"/>
  <c r="E133" i="12"/>
  <c r="D133" i="12"/>
  <c r="F133" i="12" s="1"/>
  <c r="E132" i="12"/>
  <c r="F132" i="12" s="1"/>
  <c r="D132" i="12"/>
  <c r="E131" i="12"/>
  <c r="D131" i="12"/>
  <c r="F131" i="12" s="1"/>
  <c r="E130" i="12"/>
  <c r="D130" i="12"/>
  <c r="F130" i="12" s="1"/>
  <c r="F129" i="12"/>
  <c r="E129" i="12"/>
  <c r="D129" i="12"/>
  <c r="F128" i="12"/>
  <c r="E128" i="12"/>
  <c r="D128" i="12"/>
  <c r="E127" i="12"/>
  <c r="D127" i="12"/>
  <c r="F127" i="12" s="1"/>
  <c r="E126" i="12"/>
  <c r="D126" i="12"/>
  <c r="F126" i="12" s="1"/>
  <c r="F125" i="12"/>
  <c r="E125" i="12"/>
  <c r="D125" i="12"/>
  <c r="F124" i="12"/>
  <c r="E124" i="12"/>
  <c r="D124" i="12"/>
  <c r="E123" i="12"/>
  <c r="D123" i="12"/>
  <c r="F123" i="12" s="1"/>
  <c r="E122" i="12"/>
  <c r="D122" i="12"/>
  <c r="F122" i="12" s="1"/>
  <c r="F121" i="12"/>
  <c r="E121" i="12"/>
  <c r="D121" i="12"/>
  <c r="E120" i="12"/>
  <c r="D120" i="12"/>
  <c r="F120" i="12" s="1"/>
  <c r="E119" i="12"/>
  <c r="F119" i="12" s="1"/>
  <c r="D119" i="12"/>
  <c r="E118" i="12"/>
  <c r="D118" i="12"/>
  <c r="F118" i="12" s="1"/>
  <c r="E117" i="12"/>
  <c r="F117" i="12" s="1"/>
  <c r="D117" i="12"/>
  <c r="E116" i="12"/>
  <c r="D116" i="12"/>
  <c r="E115" i="12"/>
  <c r="F115" i="12" s="1"/>
  <c r="D115" i="12"/>
  <c r="E114" i="12"/>
  <c r="D114" i="12"/>
  <c r="F114" i="12" s="1"/>
  <c r="E113" i="12"/>
  <c r="D113" i="12"/>
  <c r="F113" i="12" s="1"/>
  <c r="E112" i="12"/>
  <c r="D112" i="12"/>
  <c r="E111" i="12"/>
  <c r="F111" i="12" s="1"/>
  <c r="D111" i="12"/>
  <c r="E110" i="12"/>
  <c r="D110" i="12"/>
  <c r="F110" i="12" s="1"/>
  <c r="E109" i="12"/>
  <c r="D109" i="12"/>
  <c r="F109" i="12" s="1"/>
  <c r="E108" i="12"/>
  <c r="D108" i="12"/>
  <c r="E107" i="12"/>
  <c r="D107" i="12"/>
  <c r="F107" i="12" s="1"/>
  <c r="E106" i="12"/>
  <c r="D106" i="12"/>
  <c r="F106" i="12" s="1"/>
  <c r="E105" i="12"/>
  <c r="F105" i="12" s="1"/>
  <c r="D105" i="12"/>
  <c r="F104" i="12"/>
  <c r="E104" i="12"/>
  <c r="D104" i="12"/>
  <c r="F103" i="12"/>
  <c r="E103" i="12"/>
  <c r="D103" i="12"/>
  <c r="E102" i="12"/>
  <c r="D102" i="12"/>
  <c r="F102" i="12" s="1"/>
  <c r="F101" i="12"/>
  <c r="E101" i="12"/>
  <c r="D101" i="12"/>
  <c r="E100" i="12"/>
  <c r="D100" i="12"/>
  <c r="F100" i="12" s="1"/>
  <c r="F99" i="12"/>
  <c r="E99" i="12"/>
  <c r="D99" i="12"/>
  <c r="E98" i="12"/>
  <c r="D98" i="12"/>
  <c r="F98" i="12" s="1"/>
  <c r="F97" i="12"/>
  <c r="E97" i="12"/>
  <c r="D97" i="12"/>
  <c r="E96" i="12"/>
  <c r="D96" i="12"/>
  <c r="F96" i="12" s="1"/>
  <c r="E95" i="12"/>
  <c r="D95" i="12"/>
  <c r="F95" i="12" s="1"/>
  <c r="E94" i="12"/>
  <c r="D94" i="12"/>
  <c r="F94" i="12" s="1"/>
  <c r="F93" i="12"/>
  <c r="E93" i="12"/>
  <c r="D93" i="12"/>
  <c r="E92" i="12"/>
  <c r="D92" i="12"/>
  <c r="F92" i="12" s="1"/>
  <c r="E91" i="12"/>
  <c r="F91" i="12" s="1"/>
  <c r="D91" i="12"/>
  <c r="E90" i="12"/>
  <c r="D90" i="12"/>
  <c r="F90" i="12" s="1"/>
  <c r="F89" i="12"/>
  <c r="E89" i="12"/>
  <c r="D89" i="12"/>
  <c r="E88" i="12"/>
  <c r="D88" i="12"/>
  <c r="F88" i="12" s="1"/>
  <c r="E87" i="12"/>
  <c r="F87" i="12" s="1"/>
  <c r="D87" i="12"/>
  <c r="E86" i="12"/>
  <c r="D86" i="12"/>
  <c r="F86" i="12" s="1"/>
  <c r="F85" i="12"/>
  <c r="E85" i="12"/>
  <c r="D85" i="12"/>
  <c r="E84" i="12"/>
  <c r="D84" i="12"/>
  <c r="F84" i="12" s="1"/>
  <c r="E83" i="12"/>
  <c r="D83" i="12"/>
  <c r="F83" i="12" s="1"/>
  <c r="F82" i="12"/>
  <c r="E82" i="12"/>
  <c r="D82" i="12"/>
  <c r="E81" i="12"/>
  <c r="D81" i="12"/>
  <c r="F81" i="12" s="1"/>
  <c r="F80" i="12"/>
  <c r="E80" i="12"/>
  <c r="D80" i="12"/>
  <c r="E79" i="12"/>
  <c r="D79" i="12"/>
  <c r="F79" i="12" s="1"/>
  <c r="F78" i="12"/>
  <c r="E78" i="12"/>
  <c r="D78" i="12"/>
  <c r="E77" i="12"/>
  <c r="D77" i="12"/>
  <c r="F77" i="12" s="1"/>
  <c r="F76" i="12"/>
  <c r="E76" i="12"/>
  <c r="D76" i="12"/>
  <c r="E75" i="12"/>
  <c r="D75" i="12"/>
  <c r="F75" i="12" s="1"/>
  <c r="F74" i="12"/>
  <c r="E74" i="12"/>
  <c r="D74" i="12"/>
  <c r="E73" i="12"/>
  <c r="D73" i="12"/>
  <c r="F73" i="12" s="1"/>
  <c r="F72" i="12"/>
  <c r="E72" i="12"/>
  <c r="D72" i="12"/>
  <c r="E71" i="12"/>
  <c r="D71" i="12"/>
  <c r="F71" i="12" s="1"/>
  <c r="E70" i="12"/>
  <c r="D70" i="12"/>
  <c r="F70" i="12" s="1"/>
  <c r="E69" i="12"/>
  <c r="D69" i="12"/>
  <c r="F69" i="12" s="1"/>
  <c r="F68" i="12"/>
  <c r="E68" i="12"/>
  <c r="D68" i="12"/>
  <c r="E67" i="12"/>
  <c r="D67" i="12"/>
  <c r="F67" i="12" s="1"/>
  <c r="E66" i="12"/>
  <c r="D66" i="12"/>
  <c r="F66" i="12" s="1"/>
  <c r="E65" i="12"/>
  <c r="D65" i="12"/>
  <c r="F65" i="12" s="1"/>
  <c r="F64" i="12"/>
  <c r="E64" i="12"/>
  <c r="D64" i="12"/>
  <c r="E63" i="12"/>
  <c r="D63" i="12"/>
  <c r="F63" i="12" s="1"/>
  <c r="E62" i="12"/>
  <c r="D62" i="12"/>
  <c r="F62" i="12" s="1"/>
  <c r="E61" i="12"/>
  <c r="D61" i="12"/>
  <c r="F61" i="12" s="1"/>
  <c r="F60" i="12"/>
  <c r="E60" i="12"/>
  <c r="D60" i="12"/>
  <c r="F59" i="12"/>
  <c r="E59" i="12"/>
  <c r="D59" i="12"/>
  <c r="E58" i="12"/>
  <c r="D58" i="12"/>
  <c r="F58" i="12" s="1"/>
  <c r="F57" i="12"/>
  <c r="E57" i="12"/>
  <c r="D57" i="12"/>
  <c r="E56" i="12"/>
  <c r="D56" i="12"/>
  <c r="F56" i="12" s="1"/>
  <c r="F55" i="12"/>
  <c r="E55" i="12"/>
  <c r="D55" i="12"/>
  <c r="E54" i="12"/>
  <c r="D54" i="12"/>
  <c r="F54" i="12" s="1"/>
  <c r="F53" i="12"/>
  <c r="E53" i="12"/>
  <c r="D53" i="12"/>
  <c r="E52" i="12"/>
  <c r="D52" i="12"/>
  <c r="F52" i="12" s="1"/>
  <c r="F51" i="12"/>
  <c r="E51" i="12"/>
  <c r="D51" i="12"/>
  <c r="E50" i="12"/>
  <c r="D50" i="12"/>
  <c r="F50" i="12" s="1"/>
  <c r="F49" i="12"/>
  <c r="E49" i="12"/>
  <c r="D49" i="12"/>
  <c r="E48" i="12"/>
  <c r="D48" i="12"/>
  <c r="F48" i="12" s="1"/>
  <c r="F47" i="12"/>
  <c r="E47" i="12"/>
  <c r="D47" i="12"/>
  <c r="E46" i="12"/>
  <c r="D46" i="12"/>
  <c r="F46" i="12" s="1"/>
  <c r="E45" i="12"/>
  <c r="D45" i="12"/>
  <c r="F45" i="12" s="1"/>
  <c r="E44" i="12"/>
  <c r="D44" i="12"/>
  <c r="F44" i="12" s="1"/>
  <c r="F43" i="12"/>
  <c r="E43" i="12"/>
  <c r="D43" i="12"/>
  <c r="E42" i="12"/>
  <c r="D42" i="12"/>
  <c r="E41" i="12"/>
  <c r="D41" i="12"/>
  <c r="F41" i="12" s="1"/>
  <c r="E40" i="12"/>
  <c r="D40" i="12"/>
  <c r="F40" i="12" s="1"/>
  <c r="F39" i="12"/>
  <c r="E39" i="12"/>
  <c r="D39" i="12"/>
  <c r="E38" i="12"/>
  <c r="D38" i="12"/>
  <c r="F38" i="12" s="1"/>
  <c r="E37" i="12"/>
  <c r="D37" i="12"/>
  <c r="F37" i="12" s="1"/>
  <c r="E36" i="12"/>
  <c r="D36" i="12"/>
  <c r="F36" i="12" s="1"/>
  <c r="E35" i="12"/>
  <c r="D35" i="12"/>
  <c r="F35" i="12" s="1"/>
  <c r="F34" i="12"/>
  <c r="E34" i="12"/>
  <c r="D34" i="12"/>
  <c r="E33" i="12"/>
  <c r="D33" i="12"/>
  <c r="F33" i="12" s="1"/>
  <c r="F32" i="12"/>
  <c r="E32" i="12"/>
  <c r="D32" i="12"/>
  <c r="E31" i="12"/>
  <c r="D31" i="12"/>
  <c r="F31" i="12" s="1"/>
  <c r="F30" i="12"/>
  <c r="E30" i="12"/>
  <c r="D30" i="12"/>
  <c r="E29" i="12"/>
  <c r="D29" i="12"/>
  <c r="F29" i="12" s="1"/>
  <c r="F28" i="12"/>
  <c r="E28" i="12"/>
  <c r="D28" i="12"/>
  <c r="E27" i="12"/>
  <c r="D27" i="12"/>
  <c r="F27" i="12" s="1"/>
  <c r="F26" i="12"/>
  <c r="E26" i="12"/>
  <c r="D26" i="12"/>
  <c r="E25" i="12"/>
  <c r="D25" i="12"/>
  <c r="F25" i="12" s="1"/>
  <c r="F24" i="12"/>
  <c r="E24" i="12"/>
  <c r="D24" i="12"/>
  <c r="E23" i="12"/>
  <c r="D23" i="12"/>
  <c r="F23" i="12" s="1"/>
  <c r="F22" i="12"/>
  <c r="E22" i="12"/>
  <c r="D22" i="12"/>
  <c r="E21" i="12"/>
  <c r="D21" i="12"/>
  <c r="F21" i="12" s="1"/>
  <c r="E20" i="12"/>
  <c r="D20" i="12"/>
  <c r="F20" i="12" s="1"/>
  <c r="E19" i="12"/>
  <c r="D19" i="12"/>
  <c r="F19" i="12" s="1"/>
  <c r="F18" i="12"/>
  <c r="E18" i="12"/>
  <c r="D18" i="12"/>
  <c r="E17" i="12"/>
  <c r="D17" i="12"/>
  <c r="F17" i="12" s="1"/>
  <c r="E16" i="12"/>
  <c r="F16" i="12" s="1"/>
  <c r="D16" i="12"/>
  <c r="E15" i="12"/>
  <c r="D15" i="12"/>
  <c r="F15" i="12" s="1"/>
  <c r="F14" i="12"/>
  <c r="E14" i="12"/>
  <c r="D14" i="12"/>
  <c r="E13" i="12"/>
  <c r="D13" i="12"/>
  <c r="E12" i="12"/>
  <c r="F12" i="12" s="1"/>
  <c r="D12" i="12"/>
  <c r="K11" i="12"/>
  <c r="K12" i="12" s="1"/>
  <c r="F11" i="12"/>
  <c r="E11" i="12"/>
  <c r="K10" i="12"/>
  <c r="H9" i="12" s="1"/>
  <c r="F10" i="12"/>
  <c r="E10" i="12"/>
  <c r="K9" i="12"/>
  <c r="E9" i="12"/>
  <c r="F9" i="12" s="1"/>
  <c r="I9" i="12" s="1"/>
  <c r="H8" i="12"/>
  <c r="F8" i="12"/>
  <c r="E8" i="12"/>
  <c r="E7" i="12"/>
  <c r="G84" i="6" l="1"/>
  <c r="G33" i="6"/>
  <c r="G71" i="6"/>
  <c r="G78" i="6"/>
  <c r="H11" i="12"/>
  <c r="I11" i="12" s="1"/>
  <c r="K13" i="12"/>
  <c r="I10" i="12"/>
  <c r="F13" i="12"/>
  <c r="F42" i="12"/>
  <c r="J95" i="12"/>
  <c r="J131" i="12"/>
  <c r="H10" i="12"/>
  <c r="J59" i="12"/>
  <c r="J107" i="12"/>
  <c r="J71" i="12"/>
  <c r="J83" i="12"/>
  <c r="D372" i="12"/>
  <c r="J35" i="12"/>
  <c r="J179" i="12"/>
  <c r="F112" i="12"/>
  <c r="J191" i="12"/>
  <c r="J203" i="12"/>
  <c r="E372" i="12"/>
  <c r="F7" i="12"/>
  <c r="F108" i="12"/>
  <c r="F116" i="12"/>
  <c r="J239" i="12"/>
  <c r="F365" i="12"/>
  <c r="J311" i="12"/>
  <c r="J323" i="12"/>
  <c r="F216" i="12"/>
  <c r="F220" i="12"/>
  <c r="F224" i="12"/>
  <c r="F298" i="12"/>
  <c r="J299" i="12" s="1"/>
  <c r="F336" i="12"/>
  <c r="J335" i="12"/>
  <c r="J275" i="12"/>
  <c r="F319" i="12"/>
  <c r="J359" i="12"/>
  <c r="J251" i="12"/>
  <c r="J263" i="12"/>
  <c r="J287" i="12"/>
  <c r="F361" i="12"/>
  <c r="F209" i="12"/>
  <c r="F213" i="12"/>
  <c r="F227" i="12"/>
  <c r="F340" i="12"/>
  <c r="J119" i="12" l="1"/>
  <c r="H12" i="12"/>
  <c r="I12" i="12" s="1"/>
  <c r="K14" i="12"/>
  <c r="J47" i="12"/>
  <c r="J371" i="12"/>
  <c r="J347" i="12"/>
  <c r="J215" i="12"/>
  <c r="J227" i="12"/>
  <c r="J23" i="12"/>
  <c r="F372" i="12"/>
  <c r="J11" i="12"/>
  <c r="H13" i="12" l="1"/>
  <c r="I13" i="12" s="1"/>
  <c r="K15" i="12"/>
  <c r="J372" i="12"/>
  <c r="K16" i="12" l="1"/>
  <c r="H14" i="12"/>
  <c r="I14" i="12" s="1"/>
  <c r="H15" i="12" l="1"/>
  <c r="I15" i="12" s="1"/>
  <c r="K17" i="12"/>
  <c r="H16" i="12" l="1"/>
  <c r="I16" i="12" s="1"/>
  <c r="K18" i="12"/>
  <c r="H17" i="12" l="1"/>
  <c r="I17" i="12" s="1"/>
  <c r="K19" i="12"/>
  <c r="K20" i="12" l="1"/>
  <c r="H18" i="12"/>
  <c r="I18" i="12" s="1"/>
  <c r="H19" i="12" l="1"/>
  <c r="I19" i="12" s="1"/>
  <c r="K21" i="12"/>
  <c r="H20" i="12" l="1"/>
  <c r="I20" i="12" s="1"/>
  <c r="K22" i="12"/>
  <c r="H21" i="12" l="1"/>
  <c r="I21" i="12" s="1"/>
  <c r="K23" i="12"/>
  <c r="K24" i="12" l="1"/>
  <c r="H22" i="12"/>
  <c r="I22" i="12" s="1"/>
  <c r="H23" i="12" l="1"/>
  <c r="I23" i="12" s="1"/>
  <c r="K25" i="12"/>
  <c r="H24" i="12" l="1"/>
  <c r="I24" i="12" s="1"/>
  <c r="K26" i="12"/>
  <c r="H25" i="12" l="1"/>
  <c r="I25" i="12" s="1"/>
  <c r="K27" i="12"/>
  <c r="K28" i="12" l="1"/>
  <c r="H26" i="12"/>
  <c r="I26" i="12" s="1"/>
  <c r="H27" i="12" l="1"/>
  <c r="I27" i="12" s="1"/>
  <c r="K29" i="12"/>
  <c r="H28" i="12" l="1"/>
  <c r="I28" i="12" s="1"/>
  <c r="K30" i="12"/>
  <c r="H29" i="12" l="1"/>
  <c r="I29" i="12" s="1"/>
  <c r="K31" i="12"/>
  <c r="K32" i="12" l="1"/>
  <c r="H30" i="12"/>
  <c r="I30" i="12" s="1"/>
  <c r="H31" i="12" l="1"/>
  <c r="I31" i="12" s="1"/>
  <c r="K33" i="12"/>
  <c r="H32" i="12" l="1"/>
  <c r="I32" i="12" s="1"/>
  <c r="K34" i="12"/>
  <c r="H33" i="12" l="1"/>
  <c r="I33" i="12" s="1"/>
  <c r="K35" i="12"/>
  <c r="H34" i="12" l="1"/>
  <c r="I34" i="12" s="1"/>
  <c r="K36" i="12"/>
  <c r="H35" i="12" l="1"/>
  <c r="I35" i="12" s="1"/>
  <c r="K37" i="12"/>
  <c r="H36" i="12" l="1"/>
  <c r="I36" i="12" s="1"/>
  <c r="K38" i="12"/>
  <c r="H37" i="12" l="1"/>
  <c r="I37" i="12" s="1"/>
  <c r="K39" i="12"/>
  <c r="H38" i="12" l="1"/>
  <c r="I38" i="12" s="1"/>
  <c r="K40" i="12"/>
  <c r="K41" i="12" l="1"/>
  <c r="H39" i="12"/>
  <c r="I39" i="12" s="1"/>
  <c r="H40" i="12" l="1"/>
  <c r="I40" i="12" s="1"/>
  <c r="K42" i="12"/>
  <c r="H41" i="12" l="1"/>
  <c r="I41" i="12" s="1"/>
  <c r="K43" i="12"/>
  <c r="E11" i="6"/>
  <c r="E6" i="6"/>
  <c r="B84" i="6"/>
  <c r="B71" i="6"/>
  <c r="B43" i="6"/>
  <c r="B29" i="6"/>
  <c r="G29" i="6" s="1"/>
  <c r="B9" i="3"/>
  <c r="F9" i="1" s="1"/>
  <c r="I8" i="2"/>
  <c r="B2" i="6" l="1"/>
  <c r="G9" i="6"/>
  <c r="H42" i="12"/>
  <c r="I42" i="12" s="1"/>
  <c r="K44" i="12"/>
  <c r="K45" i="12" l="1"/>
  <c r="H43" i="12"/>
  <c r="I43" i="12" s="1"/>
  <c r="G5" i="6"/>
  <c r="G6" i="6"/>
  <c r="G7" i="6"/>
  <c r="G8" i="6"/>
  <c r="H44" i="12" l="1"/>
  <c r="I44" i="12" s="1"/>
  <c r="K46" i="12"/>
  <c r="E29" i="1"/>
  <c r="G29" i="1" s="1"/>
  <c r="H45" i="12" l="1"/>
  <c r="I45" i="12" s="1"/>
  <c r="K47" i="12"/>
  <c r="F69" i="6"/>
  <c r="G69" i="6" s="1"/>
  <c r="F68" i="6"/>
  <c r="G68" i="6" s="1"/>
  <c r="F65" i="6"/>
  <c r="G65" i="6" s="1"/>
  <c r="F60" i="6"/>
  <c r="G60" i="6" s="1"/>
  <c r="F61" i="6"/>
  <c r="F62" i="6"/>
  <c r="G62" i="6" s="1"/>
  <c r="F59" i="6"/>
  <c r="G59" i="6" s="1"/>
  <c r="G61" i="6" l="1"/>
  <c r="G43" i="6" s="1"/>
  <c r="F43" i="6"/>
  <c r="H46" i="12"/>
  <c r="I46" i="12" s="1"/>
  <c r="K48" i="12"/>
  <c r="K49" i="12" l="1"/>
  <c r="H47" i="12"/>
  <c r="I47" i="12" s="1"/>
  <c r="G43" i="1"/>
  <c r="G42" i="1"/>
  <c r="E34" i="1"/>
  <c r="G34" i="1" s="1"/>
  <c r="E31" i="1"/>
  <c r="G31" i="1" s="1"/>
  <c r="E28" i="1"/>
  <c r="G28" i="1" s="1"/>
  <c r="E26" i="1"/>
  <c r="G26" i="1" s="1"/>
  <c r="E25" i="1"/>
  <c r="G25" i="1" s="1"/>
  <c r="H48" i="12" l="1"/>
  <c r="I48" i="12" s="1"/>
  <c r="K50" i="12"/>
  <c r="H49" i="12" l="1"/>
  <c r="I49" i="12" s="1"/>
  <c r="K51" i="12"/>
  <c r="B90" i="6"/>
  <c r="E30" i="1" s="1"/>
  <c r="G30" i="1" s="1"/>
  <c r="B78" i="6"/>
  <c r="E9" i="1"/>
  <c r="G9" i="1" s="1"/>
  <c r="H50" i="12" l="1"/>
  <c r="I50" i="12" s="1"/>
  <c r="K52" i="12"/>
  <c r="K53" i="12" l="1"/>
  <c r="H51" i="12"/>
  <c r="I51" i="12" s="1"/>
  <c r="D43" i="6"/>
  <c r="B8" i="2" l="1"/>
  <c r="B12" i="2"/>
  <c r="B3" i="2" s="1"/>
  <c r="H52" i="12"/>
  <c r="I52" i="12" s="1"/>
  <c r="K54" i="12"/>
  <c r="B9" i="2" l="1"/>
  <c r="H53" i="12"/>
  <c r="I53" i="12" s="1"/>
  <c r="K55" i="12"/>
  <c r="D36" i="1"/>
  <c r="D18" i="1"/>
  <c r="B6" i="2" l="1"/>
  <c r="B2" i="2" s="1"/>
  <c r="B4" i="2" s="1"/>
  <c r="D41" i="1"/>
  <c r="H54" i="12"/>
  <c r="I54" i="12" s="1"/>
  <c r="K56" i="12"/>
  <c r="D50" i="1"/>
  <c r="E8" i="1" l="1"/>
  <c r="G8" i="1" s="1"/>
  <c r="F8" i="1"/>
  <c r="F18" i="1" s="1"/>
  <c r="K57" i="12"/>
  <c r="H55" i="12"/>
  <c r="I55" i="12" s="1"/>
  <c r="B13" i="6"/>
  <c r="E18" i="1" l="1"/>
  <c r="F41" i="1"/>
  <c r="F38" i="1"/>
  <c r="E41" i="1"/>
  <c r="G41" i="1" s="1"/>
  <c r="G18" i="1"/>
  <c r="H56" i="12"/>
  <c r="I56" i="12" s="1"/>
  <c r="K58" i="12"/>
  <c r="E23" i="1"/>
  <c r="G23" i="1" s="1"/>
  <c r="H57" i="12" l="1"/>
  <c r="I57" i="12" s="1"/>
  <c r="K59" i="12"/>
  <c r="E35" i="1"/>
  <c r="G35" i="1" s="1"/>
  <c r="D38" i="1"/>
  <c r="D45" i="1" s="1"/>
  <c r="D44" i="1" s="1"/>
  <c r="H58" i="12" l="1"/>
  <c r="I58" i="12" s="1"/>
  <c r="K60" i="12"/>
  <c r="E36" i="1"/>
  <c r="G36" i="1" s="1"/>
  <c r="D51" i="1"/>
  <c r="H59" i="12" l="1"/>
  <c r="I59" i="12" s="1"/>
  <c r="K61" i="12"/>
  <c r="E38" i="1"/>
  <c r="E52" i="1"/>
  <c r="G3" i="1"/>
  <c r="E45" i="1" l="1"/>
  <c r="E44" i="1" s="1"/>
  <c r="G44" i="1" s="1"/>
  <c r="K62" i="12"/>
  <c r="H60" i="12"/>
  <c r="I60" i="12" s="1"/>
  <c r="G38" i="1"/>
  <c r="G45" i="1" l="1"/>
  <c r="E50" i="1"/>
  <c r="E51" i="1"/>
  <c r="H61" i="12"/>
  <c r="I61" i="12" s="1"/>
  <c r="K63" i="12"/>
  <c r="H62" i="12" l="1"/>
  <c r="I62" i="12" s="1"/>
  <c r="K64" i="12"/>
  <c r="H63" i="12" l="1"/>
  <c r="I63" i="12" s="1"/>
  <c r="K65" i="12"/>
  <c r="K66" i="12" l="1"/>
  <c r="H64" i="12"/>
  <c r="I64" i="12" s="1"/>
  <c r="H65" i="12" l="1"/>
  <c r="I65" i="12" s="1"/>
  <c r="K67" i="12"/>
  <c r="H66" i="12" l="1"/>
  <c r="I66" i="12" s="1"/>
  <c r="K68" i="12"/>
  <c r="H67" i="12" l="1"/>
  <c r="I67" i="12" s="1"/>
  <c r="K69" i="12"/>
  <c r="K70" i="12" l="1"/>
  <c r="H68" i="12"/>
  <c r="I68" i="12" s="1"/>
  <c r="H69" i="12" l="1"/>
  <c r="I69" i="12" s="1"/>
  <c r="K71" i="12"/>
  <c r="H70" i="12" l="1"/>
  <c r="I70" i="12" s="1"/>
  <c r="K72" i="12"/>
  <c r="H71" i="12" l="1"/>
  <c r="I71" i="12" s="1"/>
  <c r="K73" i="12"/>
  <c r="K74" i="12" l="1"/>
  <c r="H72" i="12"/>
  <c r="I72" i="12" s="1"/>
  <c r="H73" i="12" l="1"/>
  <c r="I73" i="12" s="1"/>
  <c r="K75" i="12"/>
  <c r="H74" i="12" l="1"/>
  <c r="I74" i="12" s="1"/>
  <c r="K76" i="12"/>
  <c r="H75" i="12" l="1"/>
  <c r="I75" i="12" s="1"/>
  <c r="K77" i="12"/>
  <c r="K78" i="12" l="1"/>
  <c r="H76" i="12"/>
  <c r="I76" i="12" s="1"/>
  <c r="H77" i="12" l="1"/>
  <c r="I77" i="12" s="1"/>
  <c r="K79" i="12"/>
  <c r="H78" i="12" l="1"/>
  <c r="I78" i="12" s="1"/>
  <c r="K80" i="12"/>
  <c r="H79" i="12" l="1"/>
  <c r="I79" i="12" s="1"/>
  <c r="K81" i="12"/>
  <c r="K82" i="12" l="1"/>
  <c r="H80" i="12"/>
  <c r="I80" i="12" s="1"/>
  <c r="H81" i="12" l="1"/>
  <c r="I81" i="12" s="1"/>
  <c r="K83" i="12"/>
  <c r="H82" i="12" l="1"/>
  <c r="I82" i="12" s="1"/>
  <c r="K84" i="12"/>
  <c r="H83" i="12" l="1"/>
  <c r="I83" i="12" s="1"/>
  <c r="K85" i="12"/>
  <c r="H84" i="12" l="1"/>
  <c r="I84" i="12" s="1"/>
  <c r="K86" i="12"/>
  <c r="K87" i="12" l="1"/>
  <c r="H85" i="12"/>
  <c r="I85" i="12" s="1"/>
  <c r="H86" i="12" l="1"/>
  <c r="I86" i="12" s="1"/>
  <c r="K88" i="12"/>
  <c r="H87" i="12" l="1"/>
  <c r="I87" i="12" s="1"/>
  <c r="K89" i="12"/>
  <c r="H88" i="12" l="1"/>
  <c r="I88" i="12" s="1"/>
  <c r="K90" i="12"/>
  <c r="K91" i="12" l="1"/>
  <c r="H89" i="12"/>
  <c r="I89" i="12" s="1"/>
  <c r="H90" i="12" l="1"/>
  <c r="I90" i="12" s="1"/>
  <c r="K92" i="12"/>
  <c r="H91" i="12" l="1"/>
  <c r="I91" i="12" s="1"/>
  <c r="K93" i="12"/>
  <c r="K94" i="12" l="1"/>
  <c r="H92" i="12"/>
  <c r="I92" i="12" s="1"/>
  <c r="K95" i="12" l="1"/>
  <c r="H93" i="12"/>
  <c r="I93" i="12" s="1"/>
  <c r="H94" i="12" l="1"/>
  <c r="I94" i="12" s="1"/>
  <c r="K96" i="12"/>
  <c r="H95" i="12" l="1"/>
  <c r="I95" i="12" s="1"/>
  <c r="K97" i="12"/>
  <c r="H96" i="12" l="1"/>
  <c r="I96" i="12" s="1"/>
  <c r="K98" i="12"/>
  <c r="K99" i="12" l="1"/>
  <c r="H97" i="12"/>
  <c r="I97" i="12" s="1"/>
  <c r="H98" i="12" l="1"/>
  <c r="I98" i="12" s="1"/>
  <c r="K100" i="12"/>
  <c r="K101" i="12" l="1"/>
  <c r="H99" i="12"/>
  <c r="I99" i="12" s="1"/>
  <c r="H100" i="12" l="1"/>
  <c r="I100" i="12" s="1"/>
  <c r="K102" i="12"/>
  <c r="K103" i="12" l="1"/>
  <c r="H101" i="12"/>
  <c r="I101" i="12" s="1"/>
  <c r="K104" i="12" l="1"/>
  <c r="H102" i="12"/>
  <c r="I102" i="12" s="1"/>
  <c r="K105" i="12" l="1"/>
  <c r="H103" i="12"/>
  <c r="I103" i="12" s="1"/>
  <c r="H104" i="12" l="1"/>
  <c r="I104" i="12" s="1"/>
  <c r="K106" i="12"/>
  <c r="H105" i="12" l="1"/>
  <c r="I105" i="12" s="1"/>
  <c r="K107" i="12"/>
  <c r="H106" i="12" l="1"/>
  <c r="I106" i="12" s="1"/>
  <c r="K108" i="12"/>
  <c r="H107" i="12" l="1"/>
  <c r="I107" i="12" s="1"/>
  <c r="K109" i="12"/>
  <c r="K110" i="12" l="1"/>
  <c r="H108" i="12"/>
  <c r="I108" i="12" s="1"/>
  <c r="K111" i="12" l="1"/>
  <c r="H109" i="12"/>
  <c r="I109" i="12" s="1"/>
  <c r="H110" i="12" l="1"/>
  <c r="I110" i="12" s="1"/>
  <c r="K112" i="12"/>
  <c r="H111" i="12" l="1"/>
  <c r="I111" i="12" s="1"/>
  <c r="K113" i="12"/>
  <c r="H112" i="12" l="1"/>
  <c r="I112" i="12" s="1"/>
  <c r="K114" i="12"/>
  <c r="K115" i="12" l="1"/>
  <c r="H113" i="12"/>
  <c r="I113" i="12" s="1"/>
  <c r="H114" i="12" l="1"/>
  <c r="I114" i="12" s="1"/>
  <c r="K116" i="12"/>
  <c r="H115" i="12" l="1"/>
  <c r="I115" i="12" s="1"/>
  <c r="K117" i="12"/>
  <c r="H116" i="12" l="1"/>
  <c r="I116" i="12" s="1"/>
  <c r="K118" i="12"/>
  <c r="K119" i="12" l="1"/>
  <c r="H117" i="12"/>
  <c r="I117" i="12" s="1"/>
  <c r="H118" i="12" l="1"/>
  <c r="I118" i="12" s="1"/>
  <c r="K120" i="12"/>
  <c r="H119" i="12" l="1"/>
  <c r="I119" i="12" s="1"/>
  <c r="K121" i="12"/>
  <c r="K122" i="12" l="1"/>
  <c r="H120" i="12"/>
  <c r="I120" i="12" s="1"/>
  <c r="H121" i="12" l="1"/>
  <c r="I121" i="12" s="1"/>
  <c r="K123" i="12"/>
  <c r="H122" i="12" l="1"/>
  <c r="I122" i="12" s="1"/>
  <c r="K124" i="12"/>
  <c r="H123" i="12" l="1"/>
  <c r="I123" i="12" s="1"/>
  <c r="K125" i="12"/>
  <c r="K126" i="12" l="1"/>
  <c r="H124" i="12"/>
  <c r="I124" i="12" s="1"/>
  <c r="H125" i="12" l="1"/>
  <c r="I125" i="12" s="1"/>
  <c r="K127" i="12"/>
  <c r="H126" i="12" l="1"/>
  <c r="I126" i="12" s="1"/>
  <c r="K128" i="12"/>
  <c r="H127" i="12" l="1"/>
  <c r="I127" i="12" s="1"/>
  <c r="K129" i="12"/>
  <c r="K130" i="12" l="1"/>
  <c r="H128" i="12"/>
  <c r="I128" i="12" s="1"/>
  <c r="H129" i="12" l="1"/>
  <c r="I129" i="12" s="1"/>
  <c r="K131" i="12"/>
  <c r="H130" i="12" l="1"/>
  <c r="I130" i="12" s="1"/>
  <c r="K132" i="12"/>
  <c r="H131" i="12" l="1"/>
  <c r="I131" i="12" s="1"/>
  <c r="K133" i="12"/>
  <c r="H132" i="12" l="1"/>
  <c r="I132" i="12" s="1"/>
  <c r="K134" i="12"/>
  <c r="K135" i="12" l="1"/>
  <c r="H133" i="12"/>
  <c r="I133" i="12" s="1"/>
  <c r="H134" i="12" l="1"/>
  <c r="I134" i="12" s="1"/>
  <c r="K136" i="12"/>
  <c r="H135" i="12" l="1"/>
  <c r="I135" i="12" s="1"/>
  <c r="K137" i="12"/>
  <c r="H136" i="12" l="1"/>
  <c r="I136" i="12" s="1"/>
  <c r="K138" i="12"/>
  <c r="K139" i="12" l="1"/>
  <c r="H137" i="12"/>
  <c r="I137" i="12" s="1"/>
  <c r="H138" i="12" l="1"/>
  <c r="I138" i="12" s="1"/>
  <c r="K140" i="12"/>
  <c r="H139" i="12" l="1"/>
  <c r="I139" i="12" s="1"/>
  <c r="K141" i="12"/>
  <c r="H140" i="12" l="1"/>
  <c r="I140" i="12" s="1"/>
  <c r="K142" i="12"/>
  <c r="K143" i="12" l="1"/>
  <c r="H141" i="12"/>
  <c r="I141" i="12" s="1"/>
  <c r="H142" i="12" l="1"/>
  <c r="I142" i="12" s="1"/>
  <c r="K144" i="12"/>
  <c r="H143" i="12" l="1"/>
  <c r="I143" i="12" s="1"/>
  <c r="K145" i="12"/>
  <c r="H144" i="12" l="1"/>
  <c r="I144" i="12" s="1"/>
  <c r="K146" i="12"/>
  <c r="K147" i="12" l="1"/>
  <c r="H145" i="12"/>
  <c r="I145" i="12" s="1"/>
  <c r="H146" i="12" l="1"/>
  <c r="I146" i="12" s="1"/>
  <c r="K148" i="12"/>
  <c r="H147" i="12" l="1"/>
  <c r="I147" i="12" s="1"/>
  <c r="K149" i="12"/>
  <c r="H148" i="12" l="1"/>
  <c r="I148" i="12" s="1"/>
  <c r="K150" i="12"/>
  <c r="K151" i="12" l="1"/>
  <c r="H149" i="12"/>
  <c r="I149" i="12" s="1"/>
  <c r="H150" i="12" l="1"/>
  <c r="I150" i="12" s="1"/>
  <c r="K152" i="12"/>
  <c r="H151" i="12" l="1"/>
  <c r="I151" i="12" s="1"/>
  <c r="K153" i="12"/>
  <c r="H152" i="12" l="1"/>
  <c r="I152" i="12" s="1"/>
  <c r="K154" i="12"/>
  <c r="H153" i="12" l="1"/>
  <c r="I153" i="12" s="1"/>
  <c r="K155" i="12"/>
  <c r="H154" i="12" l="1"/>
  <c r="I154" i="12" s="1"/>
  <c r="K156" i="12"/>
  <c r="H155" i="12" l="1"/>
  <c r="I155" i="12" s="1"/>
  <c r="K157" i="12"/>
  <c r="H156" i="12" l="1"/>
  <c r="I156" i="12" s="1"/>
  <c r="K158" i="12"/>
  <c r="H157" i="12" l="1"/>
  <c r="I157" i="12" s="1"/>
  <c r="K159" i="12"/>
  <c r="K160" i="12" l="1"/>
  <c r="H158" i="12"/>
  <c r="I158" i="12" s="1"/>
  <c r="H159" i="12" l="1"/>
  <c r="I159" i="12" s="1"/>
  <c r="K161" i="12"/>
  <c r="H160" i="12" l="1"/>
  <c r="I160" i="12" s="1"/>
  <c r="K162" i="12"/>
  <c r="H161" i="12" l="1"/>
  <c r="I161" i="12" s="1"/>
  <c r="K163" i="12"/>
  <c r="K164" i="12" l="1"/>
  <c r="H162" i="12"/>
  <c r="I162" i="12" s="1"/>
  <c r="H163" i="12" l="1"/>
  <c r="I163" i="12" s="1"/>
  <c r="K165" i="12"/>
  <c r="H164" i="12" l="1"/>
  <c r="I164" i="12" s="1"/>
  <c r="K166" i="12"/>
  <c r="H165" i="12" l="1"/>
  <c r="I165" i="12" s="1"/>
  <c r="K167" i="12"/>
  <c r="K168" i="12" l="1"/>
  <c r="H166" i="12"/>
  <c r="I166" i="12" s="1"/>
  <c r="H167" i="12" l="1"/>
  <c r="I167" i="12" s="1"/>
  <c r="K169" i="12"/>
  <c r="H168" i="12" l="1"/>
  <c r="I168" i="12" s="1"/>
  <c r="K170" i="12"/>
  <c r="H169" i="12" l="1"/>
  <c r="I169" i="12" s="1"/>
  <c r="K171" i="12"/>
  <c r="K172" i="12" l="1"/>
  <c r="H170" i="12"/>
  <c r="I170" i="12" s="1"/>
  <c r="H171" i="12" l="1"/>
  <c r="I171" i="12" s="1"/>
  <c r="K173" i="12"/>
  <c r="H172" i="12" l="1"/>
  <c r="I172" i="12" s="1"/>
  <c r="K174" i="12"/>
  <c r="H173" i="12" l="1"/>
  <c r="I173" i="12" s="1"/>
  <c r="K175" i="12"/>
  <c r="K176" i="12" l="1"/>
  <c r="H174" i="12"/>
  <c r="I174" i="12" s="1"/>
  <c r="H175" i="12" l="1"/>
  <c r="I175" i="12" s="1"/>
  <c r="K177" i="12"/>
  <c r="H176" i="12" l="1"/>
  <c r="I176" i="12" s="1"/>
  <c r="K178" i="12"/>
  <c r="H177" i="12" l="1"/>
  <c r="I177" i="12" s="1"/>
  <c r="K179" i="12"/>
  <c r="H178" i="12" l="1"/>
  <c r="I178" i="12" s="1"/>
  <c r="K180" i="12"/>
  <c r="H179" i="12" l="1"/>
  <c r="I179" i="12" s="1"/>
  <c r="K181" i="12"/>
  <c r="H180" i="12" l="1"/>
  <c r="I180" i="12" s="1"/>
  <c r="K182" i="12"/>
  <c r="H181" i="12" l="1"/>
  <c r="I181" i="12" s="1"/>
  <c r="K183" i="12"/>
  <c r="H182" i="12" l="1"/>
  <c r="I182" i="12" s="1"/>
  <c r="K184" i="12"/>
  <c r="K185" i="12" l="1"/>
  <c r="H183" i="12"/>
  <c r="I183" i="12" s="1"/>
  <c r="H184" i="12" l="1"/>
  <c r="I184" i="12" s="1"/>
  <c r="K186" i="12"/>
  <c r="H185" i="12" l="1"/>
  <c r="I185" i="12" s="1"/>
  <c r="K187" i="12"/>
  <c r="H186" i="12" l="1"/>
  <c r="I186" i="12" s="1"/>
  <c r="K188" i="12"/>
  <c r="K189" i="12" l="1"/>
  <c r="H187" i="12"/>
  <c r="I187" i="12" s="1"/>
  <c r="H188" i="12" l="1"/>
  <c r="I188" i="12" s="1"/>
  <c r="K190" i="12"/>
  <c r="H189" i="12" l="1"/>
  <c r="I189" i="12" s="1"/>
  <c r="K191" i="12"/>
  <c r="H190" i="12" l="1"/>
  <c r="I190" i="12" s="1"/>
  <c r="K192" i="12"/>
  <c r="K193" i="12" l="1"/>
  <c r="H191" i="12"/>
  <c r="I191" i="12" s="1"/>
  <c r="H192" i="12" l="1"/>
  <c r="I192" i="12" s="1"/>
  <c r="K194" i="12"/>
  <c r="H193" i="12" l="1"/>
  <c r="I193" i="12" s="1"/>
  <c r="K195" i="12"/>
  <c r="H194" i="12" l="1"/>
  <c r="I194" i="12" s="1"/>
  <c r="K196" i="12"/>
  <c r="K197" i="12" l="1"/>
  <c r="H195" i="12"/>
  <c r="I195" i="12" s="1"/>
  <c r="H196" i="12" l="1"/>
  <c r="I196" i="12" s="1"/>
  <c r="K198" i="12"/>
  <c r="H197" i="12" l="1"/>
  <c r="I197" i="12" s="1"/>
  <c r="K199" i="12"/>
  <c r="H198" i="12" l="1"/>
  <c r="I198" i="12" s="1"/>
  <c r="K200" i="12"/>
  <c r="K201" i="12" l="1"/>
  <c r="H199" i="12"/>
  <c r="I199" i="12" s="1"/>
  <c r="H200" i="12" l="1"/>
  <c r="I200" i="12" s="1"/>
  <c r="K202" i="12"/>
  <c r="H201" i="12" l="1"/>
  <c r="I201" i="12" s="1"/>
  <c r="K203" i="12"/>
  <c r="H202" i="12" l="1"/>
  <c r="I202" i="12" s="1"/>
  <c r="K204" i="12"/>
  <c r="K205" i="12" l="1"/>
  <c r="H203" i="12"/>
  <c r="I203" i="12" s="1"/>
  <c r="K206" i="12" l="1"/>
  <c r="H204" i="12"/>
  <c r="I204" i="12" s="1"/>
  <c r="H205" i="12" l="1"/>
  <c r="I205" i="12" s="1"/>
  <c r="K207" i="12"/>
  <c r="K208" i="12" l="1"/>
  <c r="H206" i="12"/>
  <c r="I206" i="12" s="1"/>
  <c r="K209" i="12" l="1"/>
  <c r="H207" i="12"/>
  <c r="I207" i="12" s="1"/>
  <c r="H208" i="12" l="1"/>
  <c r="I208" i="12" s="1"/>
  <c r="K210" i="12"/>
  <c r="H209" i="12" l="1"/>
  <c r="I209" i="12" s="1"/>
  <c r="K211" i="12"/>
  <c r="K212" i="12" l="1"/>
  <c r="H210" i="12"/>
  <c r="I210" i="12" s="1"/>
  <c r="K213" i="12" l="1"/>
  <c r="H211" i="12"/>
  <c r="I211" i="12" s="1"/>
  <c r="H212" i="12" l="1"/>
  <c r="I212" i="12" s="1"/>
  <c r="K214" i="12"/>
  <c r="H213" i="12" l="1"/>
  <c r="I213" i="12" s="1"/>
  <c r="K215" i="12"/>
  <c r="K216" i="12" l="1"/>
  <c r="H214" i="12"/>
  <c r="I214" i="12" s="1"/>
  <c r="H215" i="12" l="1"/>
  <c r="I215" i="12" s="1"/>
  <c r="K217" i="12"/>
  <c r="K218" i="12" l="1"/>
  <c r="H216" i="12"/>
  <c r="I216" i="12" s="1"/>
  <c r="K219" i="12" l="1"/>
  <c r="H217" i="12"/>
  <c r="I217" i="12" s="1"/>
  <c r="H218" i="12" l="1"/>
  <c r="I218" i="12" s="1"/>
  <c r="K220" i="12"/>
  <c r="K221" i="12" l="1"/>
  <c r="H219" i="12"/>
  <c r="I219" i="12" s="1"/>
  <c r="K222" i="12" l="1"/>
  <c r="H220" i="12"/>
  <c r="I220" i="12" s="1"/>
  <c r="K223" i="12" l="1"/>
  <c r="H221" i="12"/>
  <c r="I221" i="12" s="1"/>
  <c r="H222" i="12" l="1"/>
  <c r="I222" i="12" s="1"/>
  <c r="K224" i="12"/>
  <c r="K225" i="12" l="1"/>
  <c r="H223" i="12"/>
  <c r="I223" i="12" s="1"/>
  <c r="K226" i="12" l="1"/>
  <c r="H224" i="12"/>
  <c r="I224" i="12" s="1"/>
  <c r="K227" i="12" l="1"/>
  <c r="H225" i="12"/>
  <c r="I225" i="12" s="1"/>
  <c r="H226" i="12" l="1"/>
  <c r="I226" i="12" s="1"/>
  <c r="K228" i="12"/>
  <c r="K229" i="12" l="1"/>
  <c r="H227" i="12"/>
  <c r="I227" i="12" s="1"/>
  <c r="K230" i="12" l="1"/>
  <c r="H228" i="12"/>
  <c r="I228" i="12" s="1"/>
  <c r="H229" i="12" l="1"/>
  <c r="I229" i="12" s="1"/>
  <c r="K231" i="12"/>
  <c r="H230" i="12" l="1"/>
  <c r="I230" i="12" s="1"/>
  <c r="K232" i="12"/>
  <c r="H231" i="12" l="1"/>
  <c r="I231" i="12" s="1"/>
  <c r="K233" i="12"/>
  <c r="K234" i="12" l="1"/>
  <c r="H232" i="12"/>
  <c r="I232" i="12" s="1"/>
  <c r="H233" i="12" l="1"/>
  <c r="I233" i="12" s="1"/>
  <c r="K235" i="12"/>
  <c r="H234" i="12" l="1"/>
  <c r="I234" i="12" s="1"/>
  <c r="K236" i="12"/>
  <c r="H235" i="12" l="1"/>
  <c r="I235" i="12" s="1"/>
  <c r="K237" i="12"/>
  <c r="K238" i="12" l="1"/>
  <c r="H236" i="12"/>
  <c r="I236" i="12" s="1"/>
  <c r="H237" i="12" l="1"/>
  <c r="I237" i="12" s="1"/>
  <c r="K239" i="12"/>
  <c r="H238" i="12" l="1"/>
  <c r="I238" i="12" s="1"/>
  <c r="K240" i="12"/>
  <c r="H239" i="12" l="1"/>
  <c r="I239" i="12" s="1"/>
  <c r="K241" i="12"/>
  <c r="H240" i="12" l="1"/>
  <c r="I240" i="12" s="1"/>
  <c r="K242" i="12"/>
  <c r="K243" i="12" l="1"/>
  <c r="H241" i="12"/>
  <c r="I241" i="12" s="1"/>
  <c r="H242" i="12" l="1"/>
  <c r="I242" i="12" s="1"/>
  <c r="K244" i="12"/>
  <c r="H243" i="12" l="1"/>
  <c r="I243" i="12" s="1"/>
  <c r="K245" i="12"/>
  <c r="H244" i="12" l="1"/>
  <c r="I244" i="12" s="1"/>
  <c r="K246" i="12"/>
  <c r="K247" i="12" l="1"/>
  <c r="H245" i="12"/>
  <c r="I245" i="12" s="1"/>
  <c r="H246" i="12" l="1"/>
  <c r="I246" i="12" s="1"/>
  <c r="K248" i="12"/>
  <c r="H247" i="12" l="1"/>
  <c r="I247" i="12" s="1"/>
  <c r="K249" i="12"/>
  <c r="H248" i="12" l="1"/>
  <c r="I248" i="12" s="1"/>
  <c r="K250" i="12"/>
  <c r="K251" i="12" l="1"/>
  <c r="H249" i="12"/>
  <c r="I249" i="12" s="1"/>
  <c r="H250" i="12" l="1"/>
  <c r="I250" i="12" s="1"/>
  <c r="K252" i="12"/>
  <c r="H251" i="12" l="1"/>
  <c r="I251" i="12" s="1"/>
  <c r="K253" i="12"/>
  <c r="H252" i="12" l="1"/>
  <c r="I252" i="12" s="1"/>
  <c r="K254" i="12"/>
  <c r="K255" i="12" l="1"/>
  <c r="H253" i="12"/>
  <c r="I253" i="12" s="1"/>
  <c r="H254" i="12" l="1"/>
  <c r="I254" i="12" s="1"/>
  <c r="K256" i="12"/>
  <c r="H255" i="12" l="1"/>
  <c r="I255" i="12" s="1"/>
  <c r="K257" i="12"/>
  <c r="H256" i="12" l="1"/>
  <c r="I256" i="12" s="1"/>
  <c r="K258" i="12"/>
  <c r="K259" i="12" l="1"/>
  <c r="H257" i="12"/>
  <c r="I257" i="12" s="1"/>
  <c r="H258" i="12" l="1"/>
  <c r="I258" i="12" s="1"/>
  <c r="K260" i="12"/>
  <c r="H259" i="12" l="1"/>
  <c r="I259" i="12" s="1"/>
  <c r="K261" i="12"/>
  <c r="H260" i="12" l="1"/>
  <c r="I260" i="12" s="1"/>
  <c r="K262" i="12"/>
  <c r="H261" i="12" l="1"/>
  <c r="I261" i="12" s="1"/>
  <c r="K263" i="12"/>
  <c r="H262" i="12" l="1"/>
  <c r="I262" i="12" s="1"/>
  <c r="K264" i="12"/>
  <c r="H263" i="12" l="1"/>
  <c r="I263" i="12" s="1"/>
  <c r="K265" i="12"/>
  <c r="H264" i="12" l="1"/>
  <c r="I264" i="12" s="1"/>
  <c r="K266" i="12"/>
  <c r="H265" i="12" l="1"/>
  <c r="I265" i="12" s="1"/>
  <c r="K267" i="12"/>
  <c r="K268" i="12" l="1"/>
  <c r="H266" i="12"/>
  <c r="I266" i="12" s="1"/>
  <c r="H267" i="12" l="1"/>
  <c r="I267" i="12" s="1"/>
  <c r="K269" i="12"/>
  <c r="H268" i="12" l="1"/>
  <c r="I268" i="12" s="1"/>
  <c r="K270" i="12"/>
  <c r="H269" i="12" l="1"/>
  <c r="I269" i="12" s="1"/>
  <c r="K271" i="12"/>
  <c r="K272" i="12" l="1"/>
  <c r="H270" i="12"/>
  <c r="I270" i="12" s="1"/>
  <c r="H271" i="12" l="1"/>
  <c r="I271" i="12" s="1"/>
  <c r="K273" i="12"/>
  <c r="H272" i="12" l="1"/>
  <c r="I272" i="12" s="1"/>
  <c r="K274" i="12"/>
  <c r="H273" i="12" l="1"/>
  <c r="I273" i="12" s="1"/>
  <c r="K275" i="12"/>
  <c r="K276" i="12" l="1"/>
  <c r="H274" i="12"/>
  <c r="I274" i="12" s="1"/>
  <c r="H275" i="12" l="1"/>
  <c r="I275" i="12" s="1"/>
  <c r="K277" i="12"/>
  <c r="H276" i="12" l="1"/>
  <c r="I276" i="12" s="1"/>
  <c r="K278" i="12"/>
  <c r="H277" i="12" l="1"/>
  <c r="I277" i="12" s="1"/>
  <c r="K279" i="12"/>
  <c r="K280" i="12" l="1"/>
  <c r="H278" i="12"/>
  <c r="I278" i="12" s="1"/>
  <c r="H279" i="12" l="1"/>
  <c r="I279" i="12" s="1"/>
  <c r="K281" i="12"/>
  <c r="H280" i="12" l="1"/>
  <c r="I280" i="12" s="1"/>
  <c r="K282" i="12"/>
  <c r="H281" i="12" l="1"/>
  <c r="I281" i="12" s="1"/>
  <c r="K283" i="12"/>
  <c r="K284" i="12" l="1"/>
  <c r="H282" i="12"/>
  <c r="I282" i="12" s="1"/>
  <c r="H283" i="12" l="1"/>
  <c r="I283" i="12" s="1"/>
  <c r="K285" i="12"/>
  <c r="H284" i="12" l="1"/>
  <c r="I284" i="12" s="1"/>
  <c r="K286" i="12"/>
  <c r="H285" i="12" l="1"/>
  <c r="I285" i="12" s="1"/>
  <c r="K287" i="12"/>
  <c r="H286" i="12" l="1"/>
  <c r="I286" i="12" s="1"/>
  <c r="K288" i="12"/>
  <c r="H287" i="12" l="1"/>
  <c r="I287" i="12" s="1"/>
  <c r="K289" i="12"/>
  <c r="H288" i="12" l="1"/>
  <c r="I288" i="12" s="1"/>
  <c r="K290" i="12"/>
  <c r="H289" i="12" l="1"/>
  <c r="I289" i="12" s="1"/>
  <c r="K291" i="12"/>
  <c r="H290" i="12" l="1"/>
  <c r="I290" i="12" s="1"/>
  <c r="K292" i="12"/>
  <c r="K293" i="12" l="1"/>
  <c r="H291" i="12"/>
  <c r="I291" i="12" s="1"/>
  <c r="H292" i="12" l="1"/>
  <c r="I292" i="12" s="1"/>
  <c r="K294" i="12"/>
  <c r="H293" i="12" l="1"/>
  <c r="I293" i="12" s="1"/>
  <c r="K295" i="12"/>
  <c r="H294" i="12" l="1"/>
  <c r="I294" i="12" s="1"/>
  <c r="K296" i="12"/>
  <c r="K297" i="12" l="1"/>
  <c r="H295" i="12"/>
  <c r="I295" i="12" s="1"/>
  <c r="H296" i="12" l="1"/>
  <c r="I296" i="12" s="1"/>
  <c r="K298" i="12"/>
  <c r="H297" i="12" l="1"/>
  <c r="I297" i="12" s="1"/>
  <c r="K299" i="12"/>
  <c r="H298" i="12" l="1"/>
  <c r="I298" i="12" s="1"/>
  <c r="K300" i="12"/>
  <c r="K301" i="12" l="1"/>
  <c r="H299" i="12"/>
  <c r="I299" i="12" s="1"/>
  <c r="H300" i="12" l="1"/>
  <c r="I300" i="12" s="1"/>
  <c r="K302" i="12"/>
  <c r="H301" i="12" l="1"/>
  <c r="I301" i="12" s="1"/>
  <c r="K303" i="12"/>
  <c r="H302" i="12" l="1"/>
  <c r="I302" i="12" s="1"/>
  <c r="K304" i="12"/>
  <c r="K305" i="12" l="1"/>
  <c r="H303" i="12"/>
  <c r="I303" i="12" s="1"/>
  <c r="H304" i="12" l="1"/>
  <c r="I304" i="12" s="1"/>
  <c r="K306" i="12"/>
  <c r="H305" i="12" l="1"/>
  <c r="I305" i="12" s="1"/>
  <c r="K307" i="12"/>
  <c r="H306" i="12" l="1"/>
  <c r="I306" i="12" s="1"/>
  <c r="K308" i="12"/>
  <c r="K309" i="12" l="1"/>
  <c r="H307" i="12"/>
  <c r="I307" i="12" s="1"/>
  <c r="H308" i="12" l="1"/>
  <c r="I308" i="12" s="1"/>
  <c r="K310" i="12"/>
  <c r="H309" i="12" l="1"/>
  <c r="I309" i="12" s="1"/>
  <c r="K311" i="12"/>
  <c r="H310" i="12" l="1"/>
  <c r="I310" i="12" s="1"/>
  <c r="K312" i="12"/>
  <c r="H311" i="12" l="1"/>
  <c r="I311" i="12" s="1"/>
  <c r="K313" i="12"/>
  <c r="K314" i="12" l="1"/>
  <c r="H312" i="12"/>
  <c r="I312" i="12" s="1"/>
  <c r="H313" i="12" l="1"/>
  <c r="I313" i="12" s="1"/>
  <c r="K315" i="12"/>
  <c r="H314" i="12" l="1"/>
  <c r="I314" i="12" s="1"/>
  <c r="K316" i="12"/>
  <c r="H315" i="12" l="1"/>
  <c r="I315" i="12" s="1"/>
  <c r="K317" i="12"/>
  <c r="K318" i="12" l="1"/>
  <c r="H316" i="12"/>
  <c r="I316" i="12" s="1"/>
  <c r="H317" i="12" l="1"/>
  <c r="I317" i="12" s="1"/>
  <c r="K319" i="12"/>
  <c r="H318" i="12" l="1"/>
  <c r="I318" i="12" s="1"/>
  <c r="K320" i="12"/>
  <c r="H319" i="12" l="1"/>
  <c r="I319" i="12" s="1"/>
  <c r="K321" i="12"/>
  <c r="K322" i="12" l="1"/>
  <c r="H320" i="12"/>
  <c r="I320" i="12" s="1"/>
  <c r="H321" i="12" l="1"/>
  <c r="I321" i="12" s="1"/>
  <c r="K323" i="12"/>
  <c r="H322" i="12" l="1"/>
  <c r="I322" i="12" s="1"/>
  <c r="K324" i="12"/>
  <c r="H323" i="12" l="1"/>
  <c r="I323" i="12" s="1"/>
  <c r="K325" i="12"/>
  <c r="K326" i="12" l="1"/>
  <c r="H324" i="12"/>
  <c r="I324" i="12" s="1"/>
  <c r="H325" i="12" l="1"/>
  <c r="I325" i="12" s="1"/>
  <c r="K327" i="12"/>
  <c r="H326" i="12" l="1"/>
  <c r="I326" i="12" s="1"/>
  <c r="K328" i="12"/>
  <c r="H327" i="12" l="1"/>
  <c r="I327" i="12" s="1"/>
  <c r="K329" i="12"/>
  <c r="K330" i="12" l="1"/>
  <c r="H328" i="12"/>
  <c r="I328" i="12" s="1"/>
  <c r="H329" i="12" l="1"/>
  <c r="I329" i="12" s="1"/>
  <c r="K331" i="12"/>
  <c r="H330" i="12" l="1"/>
  <c r="I330" i="12" s="1"/>
  <c r="K332" i="12"/>
  <c r="H331" i="12" l="1"/>
  <c r="I331" i="12" s="1"/>
  <c r="K333" i="12"/>
  <c r="K334" i="12" l="1"/>
  <c r="H332" i="12"/>
  <c r="I332" i="12" s="1"/>
  <c r="H333" i="12" l="1"/>
  <c r="I333" i="12" s="1"/>
  <c r="K335" i="12"/>
  <c r="H334" i="12" l="1"/>
  <c r="I334" i="12" s="1"/>
  <c r="K336" i="12"/>
  <c r="H335" i="12" l="1"/>
  <c r="I335" i="12" s="1"/>
  <c r="K337" i="12"/>
  <c r="H336" i="12" l="1"/>
  <c r="I336" i="12" s="1"/>
  <c r="K338" i="12"/>
  <c r="K339" i="12" l="1"/>
  <c r="H337" i="12"/>
  <c r="I337" i="12" s="1"/>
  <c r="H338" i="12" l="1"/>
  <c r="I338" i="12" s="1"/>
  <c r="K340" i="12"/>
  <c r="H339" i="12" l="1"/>
  <c r="I339" i="12" s="1"/>
  <c r="K341" i="12"/>
  <c r="H340" i="12" l="1"/>
  <c r="I340" i="12" s="1"/>
  <c r="K342" i="12"/>
  <c r="K343" i="12" l="1"/>
  <c r="H341" i="12"/>
  <c r="I341" i="12" s="1"/>
  <c r="H342" i="12" l="1"/>
  <c r="I342" i="12" s="1"/>
  <c r="K344" i="12"/>
  <c r="H343" i="12" l="1"/>
  <c r="I343" i="12" s="1"/>
  <c r="K345" i="12"/>
  <c r="H344" i="12" l="1"/>
  <c r="I344" i="12" s="1"/>
  <c r="K346" i="12"/>
  <c r="K347" i="12" l="1"/>
  <c r="H345" i="12"/>
  <c r="I345" i="12" s="1"/>
  <c r="H346" i="12" l="1"/>
  <c r="I346" i="12" s="1"/>
  <c r="K348" i="12"/>
  <c r="H347" i="12" l="1"/>
  <c r="I347" i="12" s="1"/>
  <c r="K349" i="12"/>
  <c r="H348" i="12" l="1"/>
  <c r="I348" i="12" s="1"/>
  <c r="K350" i="12"/>
  <c r="K351" i="12" l="1"/>
  <c r="H349" i="12"/>
  <c r="I349" i="12" s="1"/>
  <c r="H350" i="12" l="1"/>
  <c r="I350" i="12" s="1"/>
  <c r="K352" i="12"/>
  <c r="H351" i="12" l="1"/>
  <c r="I351" i="12" s="1"/>
  <c r="K353" i="12"/>
  <c r="H352" i="12" l="1"/>
  <c r="I352" i="12" s="1"/>
  <c r="K354" i="12"/>
  <c r="K355" i="12" l="1"/>
  <c r="H353" i="12"/>
  <c r="I353" i="12" s="1"/>
  <c r="H354" i="12" l="1"/>
  <c r="I354" i="12" s="1"/>
  <c r="K356" i="12"/>
  <c r="H355" i="12" l="1"/>
  <c r="I355" i="12" s="1"/>
  <c r="K357" i="12"/>
  <c r="H356" i="12" l="1"/>
  <c r="I356" i="12" s="1"/>
  <c r="K358" i="12"/>
  <c r="H357" i="12" l="1"/>
  <c r="I357" i="12" s="1"/>
  <c r="K359" i="12"/>
  <c r="H358" i="12" l="1"/>
  <c r="I358" i="12" s="1"/>
  <c r="K360" i="12"/>
  <c r="H359" i="12" l="1"/>
  <c r="I359" i="12" s="1"/>
  <c r="K361" i="12"/>
  <c r="H360" i="12" l="1"/>
  <c r="I360" i="12" s="1"/>
  <c r="K362" i="12"/>
  <c r="H361" i="12" l="1"/>
  <c r="I361" i="12" s="1"/>
  <c r="K363" i="12"/>
  <c r="K364" i="12" l="1"/>
  <c r="H362" i="12"/>
  <c r="I362" i="12" s="1"/>
  <c r="H363" i="12" l="1"/>
  <c r="I363" i="12" s="1"/>
  <c r="K365" i="12"/>
  <c r="H364" i="12" l="1"/>
  <c r="I364" i="12" s="1"/>
  <c r="K366" i="12"/>
  <c r="H365" i="12" l="1"/>
  <c r="I365" i="12" s="1"/>
  <c r="K367" i="12"/>
  <c r="K368" i="12" l="1"/>
  <c r="H366" i="12"/>
  <c r="I366" i="12" s="1"/>
  <c r="H367" i="12" l="1"/>
  <c r="I367" i="12" s="1"/>
  <c r="K369" i="12"/>
  <c r="H368" i="12" l="1"/>
  <c r="I368" i="12" s="1"/>
  <c r="K370" i="12"/>
  <c r="H369" i="12" l="1"/>
  <c r="I369" i="12" s="1"/>
  <c r="K371" i="12"/>
  <c r="H370" i="12" s="1"/>
  <c r="I37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tc={458632CC-1F57-49D9-B93F-9F85DFB4B142}</author>
    <author>tc={128EBAB9-1CA1-4F3F-9D3A-00B06BEBDF75}</author>
    <author>tc={C87C266B-F115-4B47-85FF-BBAD9A42D8BE}</author>
    <author>tc={3BC3CC54-FCBF-41AB-85EA-57AF48A2584D}</author>
    <author>tc={1C661481-82B3-492B-836A-0D7ADABEFD85}</author>
    <author>tc={5CC6A494-C91F-4C74-AC0C-03EC273F4EBB}</author>
    <author>tc={7D3F16D5-2C80-434A-8FFB-9C1F1C463CD5}</author>
  </authors>
  <commentList>
    <comment ref="E5" authorId="0" shapeId="0" xr:uid="{458632CC-1F57-49D9-B93F-9F85DFB4B142}">
      <text>
        <t>[Threaded comment]
Your version of Excel allows you to read this threaded comment; however, any edits to it will get removed if the file is opened in a newer version of Excel. Learn more: https://go.microsoft.com/fwlink/?linkid=870924
Comment:
    5K for Paragon June, 5K for Wilklow May and June</t>
      </text>
    </comment>
    <comment ref="F11" authorId="1" shapeId="0" xr:uid="{128EBAB9-1CA1-4F3F-9D3A-00B06BEBDF75}">
      <text>
        <t>[Threaded comment]
Your version of Excel allows you to read this threaded comment; however, any edits to it will get removed if the file is opened in a newer version of Excel. Learn more: https://go.microsoft.com/fwlink/?linkid=870924
Comment:
    3K was in "other" in FY22</t>
      </text>
    </comment>
    <comment ref="F16" authorId="2" shapeId="0" xr:uid="{C87C266B-F115-4B47-85FF-BBAD9A42D8BE}">
      <text>
        <t>[Threaded comment]
Your version of Excel allows you to read this threaded comment; however, any edits to it will get removed if the file is opened in a newer version of Excel. Learn more: https://go.microsoft.com/fwlink/?linkid=870924
Comment:
    4K was in other</t>
      </text>
    </comment>
    <comment ref="D46" authorId="3" shapeId="0" xr:uid="{3BC3CC54-FCBF-41AB-85EA-57AF48A2584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ongoing grant supplies.</t>
      </text>
    </comment>
    <comment ref="D47" authorId="4" shapeId="0" xr:uid="{1C661481-82B3-492B-836A-0D7ADABEFD85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Computers.</t>
      </text>
    </comment>
    <comment ref="E59" authorId="5" shapeId="0" xr:uid="{5CC6A494-C91F-4C74-AC0C-03EC273F4EB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4K for both May and June</t>
      </text>
    </comment>
    <comment ref="D73" authorId="6" shapeId="0" xr:uid="{7D3F16D5-2C80-434A-8FFB-9C1F1C463CD5}">
      <text>
        <t>[Threaded comment]
Your version of Excel allows you to read this threaded comment; however, any edits to it will get removed if the file is opened in a newer version of Excel. Learn more: https://go.microsoft.com/fwlink/?linkid=870924
Comment:
    11 new desktops. Not sure if this was for students or staff.</t>
      </text>
    </comment>
  </commentList>
</comments>
</file>

<file path=xl/sharedStrings.xml><?xml version="1.0" encoding="utf-8"?>
<sst xmlns="http://schemas.openxmlformats.org/spreadsheetml/2006/main" count="1269" uniqueCount="765">
  <si>
    <t>FY 2022-23 Forecast</t>
  </si>
  <si>
    <t>Beginning Fund Balance</t>
  </si>
  <si>
    <t>Revenue</t>
  </si>
  <si>
    <t xml:space="preserve">Formula Based Funding: </t>
  </si>
  <si>
    <t>Local Sources</t>
  </si>
  <si>
    <t>Federal Sources</t>
  </si>
  <si>
    <t>State Competitive Grants</t>
  </si>
  <si>
    <t>Rental Income - Housing</t>
  </si>
  <si>
    <t>Rental Income - All other</t>
  </si>
  <si>
    <t>Donations</t>
  </si>
  <si>
    <t>Fundraisers</t>
  </si>
  <si>
    <t>Activity Fees</t>
  </si>
  <si>
    <t>Other Income</t>
  </si>
  <si>
    <t>Interest</t>
  </si>
  <si>
    <t>Total Revenue</t>
  </si>
  <si>
    <t>Expenditures</t>
  </si>
  <si>
    <t>Salaries</t>
  </si>
  <si>
    <t>Benefits</t>
  </si>
  <si>
    <t>Purchased &amp; Professional Services</t>
  </si>
  <si>
    <t>Purchased Services from CSI/CDE</t>
  </si>
  <si>
    <t>Utilities</t>
  </si>
  <si>
    <t>Communications</t>
  </si>
  <si>
    <t>Printing/Copying</t>
  </si>
  <si>
    <t>Marketing</t>
  </si>
  <si>
    <t>Supplies &amp; Materials</t>
  </si>
  <si>
    <t>Property - Capital Improvements</t>
  </si>
  <si>
    <t>Community Activities</t>
  </si>
  <si>
    <t>Other Expenditures</t>
  </si>
  <si>
    <t>Debt Service - Principal &amp; Interest</t>
  </si>
  <si>
    <t>Debt Service - Fees</t>
  </si>
  <si>
    <t>Contingency</t>
  </si>
  <si>
    <t>Total Expenditures</t>
  </si>
  <si>
    <t>Net Income</t>
  </si>
  <si>
    <t>Ending Fund Balance</t>
  </si>
  <si>
    <t>Restricted for TABOR</t>
  </si>
  <si>
    <t>Restricted Fund Balance</t>
  </si>
  <si>
    <t>Assigned - SPED Reserve</t>
  </si>
  <si>
    <t>Unreserved Fund Balance</t>
  </si>
  <si>
    <t>Total Ending Funding Balance</t>
  </si>
  <si>
    <t xml:space="preserve"> </t>
  </si>
  <si>
    <t>Key Metrics</t>
  </si>
  <si>
    <t>FY 2021-22 Adopted Budget</t>
  </si>
  <si>
    <t>Benchmark</t>
  </si>
  <si>
    <t>Unrestricted Fund Balance as % of Expenses</t>
  </si>
  <si>
    <t>&gt;16%</t>
  </si>
  <si>
    <t>Days of unrestricted fund balance on hand</t>
  </si>
  <si>
    <t>&gt;60 days</t>
  </si>
  <si>
    <t>Grade</t>
  </si>
  <si>
    <t>enrolled 21/22</t>
  </si>
  <si>
    <t>23/24 (enrollment projection)</t>
  </si>
  <si>
    <t>K</t>
  </si>
  <si>
    <t>Total</t>
  </si>
  <si>
    <t>Budget</t>
  </si>
  <si>
    <t>State Equalization (K-12)</t>
  </si>
  <si>
    <t>Other State Funding</t>
  </si>
  <si>
    <t>State Equalization</t>
  </si>
  <si>
    <t>Enrollment/DE</t>
  </si>
  <si>
    <t>K-12  CSI on 5/5/23 with declining enrollment</t>
  </si>
  <si>
    <t xml:space="preserve">At-risk Adjustment </t>
  </si>
  <si>
    <t>At-risk Supplemental Aid</t>
  </si>
  <si>
    <t>Half of at-risk adjustment</t>
  </si>
  <si>
    <t>Other state funding</t>
  </si>
  <si>
    <t>ECEA</t>
  </si>
  <si>
    <t>$</t>
  </si>
  <si>
    <t>ELPA</t>
  </si>
  <si>
    <t>GT</t>
  </si>
  <si>
    <t xml:space="preserve">READ </t>
  </si>
  <si>
    <t>PERA on Behalf</t>
  </si>
  <si>
    <t>Cap Construction</t>
  </si>
  <si>
    <t>CSI Mill Levy Equalization</t>
  </si>
  <si>
    <t>CAP construction</t>
  </si>
  <si>
    <t>CSI Mill Levy</t>
  </si>
  <si>
    <t>Impact Aid</t>
  </si>
  <si>
    <t>Title II</t>
  </si>
  <si>
    <t>Title III</t>
  </si>
  <si>
    <t>Probably not a "local source"  TBD</t>
  </si>
  <si>
    <t>NOT included in the budget, but very likely</t>
  </si>
  <si>
    <t>Employee Retention Credit</t>
  </si>
  <si>
    <t>Estimate are 700K to 1.5 million</t>
  </si>
  <si>
    <t>Vacant</t>
  </si>
  <si>
    <t>Expenditure Category</t>
  </si>
  <si>
    <t>FY22 YTD</t>
  </si>
  <si>
    <t>FY22 Forecast</t>
  </si>
  <si>
    <t>FY22 Adopted Budget</t>
  </si>
  <si>
    <t>FY23 Prop Budget Over/(under) FY22 Adop Bud</t>
  </si>
  <si>
    <t xml:space="preserve">Legal </t>
  </si>
  <si>
    <t>Fiduciary Services</t>
  </si>
  <si>
    <t>Financial Management</t>
  </si>
  <si>
    <t>Tech management services</t>
  </si>
  <si>
    <t>Website Maintenance</t>
  </si>
  <si>
    <t>Audit services/990 filing</t>
  </si>
  <si>
    <t>Contract SPED</t>
  </si>
  <si>
    <t>retiree PERA</t>
  </si>
  <si>
    <t>previously dant</t>
  </si>
  <si>
    <t>Fingerprint/Background Check Services</t>
  </si>
  <si>
    <t>Contract OT Dale</t>
  </si>
  <si>
    <t>Employee Recruitment</t>
  </si>
  <si>
    <t>Contract Speech Altman</t>
  </si>
  <si>
    <t>Contract Nurse Vallejo</t>
  </si>
  <si>
    <t>Purchased Services</t>
  </si>
  <si>
    <t>CSI 3% withholding</t>
  </si>
  <si>
    <t>CDE 1% withholding  (3months)</t>
  </si>
  <si>
    <t>Bank Service Charges</t>
  </si>
  <si>
    <t>Software Subscriptions/licenses</t>
  </si>
  <si>
    <t>ONE TIME Aptafund acctg system implementation services</t>
  </si>
  <si>
    <t>Aptafund acctg system annual software license</t>
  </si>
  <si>
    <t>Facilities Maintenance Services (floor cleaning, etc)</t>
  </si>
  <si>
    <t>Ops and Maintenance</t>
  </si>
  <si>
    <t>Janitorial</t>
  </si>
  <si>
    <t>Snow Removal</t>
  </si>
  <si>
    <t>Inspections</t>
  </si>
  <si>
    <t>Fire Alarm Monitoring</t>
  </si>
  <si>
    <t>Pest Control</t>
  </si>
  <si>
    <t>Other Services</t>
  </si>
  <si>
    <t>Trash</t>
  </si>
  <si>
    <t>Telephone/fax/internet</t>
  </si>
  <si>
    <t>Postage</t>
  </si>
  <si>
    <t>Office and Admin Supplies</t>
  </si>
  <si>
    <t>Texts and Curricula</t>
  </si>
  <si>
    <t>Instructional Supplies</t>
  </si>
  <si>
    <t>ESSER III Supplies</t>
  </si>
  <si>
    <t>Library Inventory</t>
  </si>
  <si>
    <t>Library Online Services</t>
  </si>
  <si>
    <t>NWEA</t>
  </si>
  <si>
    <t>Special Education Supplies/Curriculum</t>
  </si>
  <si>
    <t>Recess</t>
  </si>
  <si>
    <t>Other Evaluation Tools</t>
  </si>
  <si>
    <t>Music Supplies</t>
  </si>
  <si>
    <t>Art Supplies</t>
  </si>
  <si>
    <t>PE Supplies</t>
  </si>
  <si>
    <t>Counselor Supplies</t>
  </si>
  <si>
    <t xml:space="preserve">Nursing Supplies </t>
  </si>
  <si>
    <t>Building Maintenance</t>
  </si>
  <si>
    <t>Equipment Maintenance</t>
  </si>
  <si>
    <t>Grounds Maintenance</t>
  </si>
  <si>
    <t>Equipment Rental</t>
  </si>
  <si>
    <t>Vehicle Maintenance</t>
  </si>
  <si>
    <t>Vehicle Fuel</t>
  </si>
  <si>
    <t>Health and Safety</t>
  </si>
  <si>
    <t>Rental Property Maintenance</t>
  </si>
  <si>
    <t>Auditorium Lighting</t>
  </si>
  <si>
    <t>Janitorial Supplies</t>
  </si>
  <si>
    <t>Facilities Supplies</t>
  </si>
  <si>
    <t>Non-Capital Equipment</t>
  </si>
  <si>
    <t>Student Computer Refresh</t>
  </si>
  <si>
    <t>Staff Computer Refresh</t>
  </si>
  <si>
    <t>Other Tech Equipment</t>
  </si>
  <si>
    <t>Networking and Servers</t>
  </si>
  <si>
    <t>Furniture</t>
  </si>
  <si>
    <t>Capital Equipment</t>
  </si>
  <si>
    <t>Machinery</t>
  </si>
  <si>
    <t>Groundskeeping/Custodial Equipment</t>
  </si>
  <si>
    <t>Community Activites</t>
  </si>
  <si>
    <t>Board Development</t>
  </si>
  <si>
    <t>Administrative Development</t>
  </si>
  <si>
    <t>ONE TIME - Capital Projects</t>
  </si>
  <si>
    <t>Debt Service - Fees and Property Insurance</t>
  </si>
  <si>
    <t>Colorado Educational and Cultural Facilities Authority</t>
  </si>
  <si>
    <t>Charter School Revenue Bonds</t>
  </si>
  <si>
    <t>(Colorado Springs Charter Academy Project)</t>
  </si>
  <si>
    <t>Series 2010</t>
  </si>
  <si>
    <t>Intercept Payments made the 25th of the month previous to "Payment Due" Date</t>
  </si>
  <si>
    <t>Payment Due</t>
  </si>
  <si>
    <t>Principal Payment</t>
  </si>
  <si>
    <t>Interest
Payment</t>
  </si>
  <si>
    <t>Lease Payment
toward Principal</t>
  </si>
  <si>
    <t>Lease Payment
toward Interest</t>
  </si>
  <si>
    <t>Total Monthly Lease Payment</t>
  </si>
  <si>
    <t>Repair and Replacement Deposit</t>
  </si>
  <si>
    <t>Moral Obligation/Debt Service Reserve Fund Fee</t>
  </si>
  <si>
    <t>Total Intercept Payment</t>
  </si>
  <si>
    <t>Annual Debt Service</t>
  </si>
  <si>
    <t>Bond Principal Outstanding</t>
  </si>
  <si>
    <t>Paid directly by school to Trustee</t>
  </si>
  <si>
    <t>Paid directly to Trustee</t>
  </si>
  <si>
    <t>COLORADO SPRINGS CHARTER ACADEMY</t>
  </si>
  <si>
    <t>Transaction Report</t>
  </si>
  <si>
    <t>July 1, 2021 - June 17, 2022</t>
  </si>
  <si>
    <t>Date</t>
  </si>
  <si>
    <t>Transaction Type</t>
  </si>
  <si>
    <t>Num</t>
  </si>
  <si>
    <t>Name</t>
  </si>
  <si>
    <t>Memo/Description</t>
  </si>
  <si>
    <t>Account</t>
  </si>
  <si>
    <t>Split</t>
  </si>
  <si>
    <t>Amount</t>
  </si>
  <si>
    <t>Balance</t>
  </si>
  <si>
    <t>BUSINESS SERVICES</t>
  </si>
  <si>
    <t xml:space="preserve">   Supplies and Materials</t>
  </si>
  <si>
    <t xml:space="preserve">      Technology &amp; Equipment</t>
  </si>
  <si>
    <t xml:space="preserve">         Software &amp; Licenses</t>
  </si>
  <si>
    <t>07/19/2021</t>
  </si>
  <si>
    <t>Expense</t>
  </si>
  <si>
    <t>RainTech</t>
  </si>
  <si>
    <t>July Services</t>
  </si>
  <si>
    <t>2506230 BUSINESS SERVICES:Supplies and Materials:Technology &amp; Equipment:Software &amp; Licenses</t>
  </si>
  <si>
    <t>8101000 Cash and Investments:Cash in Vectra Bank</t>
  </si>
  <si>
    <t>Swiftreach</t>
  </si>
  <si>
    <t>SwiftK12 - FY22 - Invoice INV-35414</t>
  </si>
  <si>
    <t>07/22/2021</t>
  </si>
  <si>
    <t>Bankcard Center</t>
  </si>
  <si>
    <t>Zoom</t>
  </si>
  <si>
    <t>7411000 Vectra Bank Credit Card</t>
  </si>
  <si>
    <t>June - Zoom</t>
  </si>
  <si>
    <t>07/26/2021</t>
  </si>
  <si>
    <t>POWERSCHOOL</t>
  </si>
  <si>
    <t>Invoice 258274</t>
  </si>
  <si>
    <t>08/10/2021</t>
  </si>
  <si>
    <t>August Services</t>
  </si>
  <si>
    <t>08/18/2021</t>
  </si>
  <si>
    <t>IT Computing Services Inc</t>
  </si>
  <si>
    <t>WebClock - 8/14/2021 - Invoice 51814</t>
  </si>
  <si>
    <t>08/23/2021</t>
  </si>
  <si>
    <t>Adobe Pro DC</t>
  </si>
  <si>
    <t>08/24/2021</t>
  </si>
  <si>
    <t>Smartsheet</t>
  </si>
  <si>
    <t>Smartsheet - FY 22 - Invoice 478119</t>
  </si>
  <si>
    <t>08/27/2021</t>
  </si>
  <si>
    <t>09/02/2021</t>
  </si>
  <si>
    <t>Schoolhouse Driveline</t>
  </si>
  <si>
    <t>Driveline - 2021-2022 Invoice 1051</t>
  </si>
  <si>
    <t>09/20/2021</t>
  </si>
  <si>
    <t>WebClock - 9/14/2021 - Invoice 52143</t>
  </si>
  <si>
    <t>09/22/2021</t>
  </si>
  <si>
    <t>09/30/2021</t>
  </si>
  <si>
    <t>Intrado</t>
  </si>
  <si>
    <t>Invoice - 224754 - 9/20/21</t>
  </si>
  <si>
    <t>10/08/2021</t>
  </si>
  <si>
    <t>WebClock - 07/14/2021 - Invoice 51510</t>
  </si>
  <si>
    <t>10/20/2021</t>
  </si>
  <si>
    <t>WebClock - 10/14/2021 - Invoice 52487</t>
  </si>
  <si>
    <t>10/22/2021</t>
  </si>
  <si>
    <t>Zoom - Invoice INV110538671</t>
  </si>
  <si>
    <t>11/02/2021</t>
  </si>
  <si>
    <t>Marcia Brenner Associates</t>
  </si>
  <si>
    <t>PowerSchool Annual Support Plugin - Invoice INV-211817</t>
  </si>
  <si>
    <t>11/18/2021</t>
  </si>
  <si>
    <t>Webclock - Invoice 52764</t>
  </si>
  <si>
    <t>11/22/2021</t>
  </si>
  <si>
    <t>Zoom - October 2021</t>
  </si>
  <si>
    <t>12/17/2021</t>
  </si>
  <si>
    <t>Webclock - Invoice 53064</t>
  </si>
  <si>
    <t>12/22/2021</t>
  </si>
  <si>
    <t>Zoom - Invoice - INV120843502</t>
  </si>
  <si>
    <t>01/19/2022</t>
  </si>
  <si>
    <t>Webclock - Invoice 53353</t>
  </si>
  <si>
    <t>01/20/2022</t>
  </si>
  <si>
    <t>Credit Card Expense</t>
  </si>
  <si>
    <t>Vectra Bank Credit Card:Vectra CC - Laura</t>
  </si>
  <si>
    <t>02/01/2022</t>
  </si>
  <si>
    <t>02/17/2022</t>
  </si>
  <si>
    <t>Webclock - Invoice 53647</t>
  </si>
  <si>
    <t>03/02/2022</t>
  </si>
  <si>
    <t>03/14/2022</t>
  </si>
  <si>
    <t>Webclock - Invoice 53953</t>
  </si>
  <si>
    <t>03/15/2022</t>
  </si>
  <si>
    <t>Webclock - Invoice 52143 Reissue</t>
  </si>
  <si>
    <t>Webclock - Invoice 51510 Reissue</t>
  </si>
  <si>
    <t>GrantVantage</t>
  </si>
  <si>
    <t>GrantVantage User License - Invoice CSI2022-07</t>
  </si>
  <si>
    <t>04/02/2022</t>
  </si>
  <si>
    <t>04/21/2022</t>
  </si>
  <si>
    <t>Webclock - Invoice 54268</t>
  </si>
  <si>
    <t>05/01/2022</t>
  </si>
  <si>
    <t>05/18/2022</t>
  </si>
  <si>
    <t>Webclock May - Invoice 54568</t>
  </si>
  <si>
    <t>Vectra Bank Credit Card:Vectra CC - Zoe Ann</t>
  </si>
  <si>
    <t>05/25/2022</t>
  </si>
  <si>
    <t>Check</t>
  </si>
  <si>
    <t>May - Invoice 54568</t>
  </si>
  <si>
    <t xml:space="preserve">         Total for Software &amp; Licenses</t>
  </si>
  <si>
    <t xml:space="preserve">      Total for Technology &amp; Equipment</t>
  </si>
  <si>
    <t xml:space="preserve">   Total for Supplies and Materials</t>
  </si>
  <si>
    <t>Total for BUSINESS SERVICES</t>
  </si>
  <si>
    <t>TOTAL</t>
  </si>
  <si>
    <t>Friday, Jun 17, 2022 01:20:10 PM GMT-7 - Accrual Basis</t>
  </si>
  <si>
    <t>SUPPORTING SERVICES</t>
  </si>
  <si>
    <t xml:space="preserve">   Purchased Services</t>
  </si>
  <si>
    <t xml:space="preserve">      Computer Services (Raintech)</t>
  </si>
  <si>
    <t>09/01/2021</t>
  </si>
  <si>
    <t>Invoice 11718 - May</t>
  </si>
  <si>
    <t>2103010 SUPPORTING SERVICES:Purchased Services:Computer Services (Raintech)</t>
  </si>
  <si>
    <t>09/07/2021</t>
  </si>
  <si>
    <t>Invoice - 11960 - September Services</t>
  </si>
  <si>
    <t>Invoice - 12027 - October Services</t>
  </si>
  <si>
    <t>Invoice - 12102 - November Services</t>
  </si>
  <si>
    <t>12/01/2021</t>
  </si>
  <si>
    <t>Invoice - 12170 - December Services</t>
  </si>
  <si>
    <t>01/03/2022</t>
  </si>
  <si>
    <t>Invoice - 12234</t>
  </si>
  <si>
    <t>Password Reset Kristen - Invoice - 12209</t>
  </si>
  <si>
    <t>02/08/2022</t>
  </si>
  <si>
    <t>Invoice - 12209</t>
  </si>
  <si>
    <t>Laptop trouble shoot - Invoice - 12286</t>
  </si>
  <si>
    <t>March Service  - Invoice - 12375</t>
  </si>
  <si>
    <t>FRONTLINE PROTECTION</t>
  </si>
  <si>
    <t>Network alarm/phones/cameras for Tom and Mike's computers - Invoice 1841</t>
  </si>
  <si>
    <t>04/05/2022</t>
  </si>
  <si>
    <t>April (March?) Service  - Invoice - 12453</t>
  </si>
  <si>
    <t>Workstation fix  - Invoice - 12411</t>
  </si>
  <si>
    <t>05/10/2022</t>
  </si>
  <si>
    <t>May Services - Invoice - 12507</t>
  </si>
  <si>
    <t>Troubleshooting - Invoice - 12485</t>
  </si>
  <si>
    <t>Fixes and helping attorney - Invoice - 12552</t>
  </si>
  <si>
    <t xml:space="preserve">      Total for Computer Services (Raintech)</t>
  </si>
  <si>
    <t xml:space="preserve">   Total for Purchased Services</t>
  </si>
  <si>
    <t>Total for SUPPORTING SERVICES</t>
  </si>
  <si>
    <t>11 mos</t>
  </si>
  <si>
    <t>FY23</t>
  </si>
  <si>
    <t>Raintech</t>
  </si>
  <si>
    <t xml:space="preserve">This will go down to $6,800 FY23: $2,500 in July and Aug, and then decrease to the education plan with 20 users for $1,800 a year. </t>
  </si>
  <si>
    <t>Webclock</t>
  </si>
  <si>
    <t>Frontline Protection</t>
  </si>
  <si>
    <t>Powerschools</t>
  </si>
  <si>
    <t>Adobe</t>
  </si>
  <si>
    <t>Grant vantage</t>
  </si>
  <si>
    <t>** not to be assumed as revenue until award is granted…place hold for now - ss **</t>
  </si>
  <si>
    <t>FY 24-25 Budget</t>
  </si>
  <si>
    <t>Notes 2024-2025</t>
  </si>
  <si>
    <t>Incl:  Abacus, Quickbooks Online Fees</t>
  </si>
  <si>
    <t>Verified with Fy24</t>
  </si>
  <si>
    <t>From state sources tab FY25 ss</t>
  </si>
  <si>
    <t>Verified with FY24 actual</t>
  </si>
  <si>
    <t>verified with Fy 24</t>
  </si>
  <si>
    <t>Incl power school upgrade expected 23k one time fee - ss</t>
  </si>
  <si>
    <t>Verified small increase from Fy 24 ss</t>
  </si>
  <si>
    <t>Verified with Fy 24 ss</t>
  </si>
  <si>
    <t>Incl bill.com subscription fee</t>
  </si>
  <si>
    <t>Incl chrome book replacement Fy25 ss</t>
  </si>
  <si>
    <t>Looking to lower contract amount for Fy25, hold ss</t>
  </si>
  <si>
    <t>Verified with actual Fy24 ss</t>
  </si>
  <si>
    <t>Verified to lower a tad - ss</t>
  </si>
  <si>
    <t xml:space="preserve">Verified with actual Fy24 ss </t>
  </si>
  <si>
    <t>Projection for Fy24 around 80k - hold at 90 ss</t>
  </si>
  <si>
    <t>New math program for Fy25 - ss</t>
  </si>
  <si>
    <t>To be looked into for Fy 25 ss</t>
  </si>
  <si>
    <t>Trending around 45k Fy24 - ss</t>
  </si>
  <si>
    <t>Trending around 400 for Fy24 ss</t>
  </si>
  <si>
    <t>Based off of actual for Fy 24 - ss</t>
  </si>
  <si>
    <t>See above for Fy25 ss</t>
  </si>
  <si>
    <t>Verified with Fy24 actual ss</t>
  </si>
  <si>
    <t>Food? Looks to be around 15000.</t>
  </si>
  <si>
    <t>Based off of actual Fy24 ss</t>
  </si>
  <si>
    <t>Incl ice melt -ss</t>
  </si>
  <si>
    <t>Where does Insur (prop policy) running 45k</t>
  </si>
  <si>
    <t>Lower for Fy25 ss</t>
  </si>
  <si>
    <t xml:space="preserve">Work Comp - </t>
  </si>
  <si>
    <t>Fy24 - Network upgrade Flair Data ss</t>
  </si>
  <si>
    <t>Based off of actual Fy24 Jul-Feb ss</t>
  </si>
  <si>
    <t>Incl RainTech Fy24 ss</t>
  </si>
  <si>
    <t xml:space="preserve">Hold assuming from Fy24 ss </t>
  </si>
  <si>
    <t>Trending a bit higher Fy24 -ss</t>
  </si>
  <si>
    <t>FY 24-25 Proposed Budget</t>
  </si>
  <si>
    <t>Fy24 only used 8k Jul-Feb - ss</t>
  </si>
  <si>
    <t>Best Grant Consultant / possible pay in Fy24 a portion 3.19.24</t>
  </si>
  <si>
    <t xml:space="preserve">Based on the FY23 at-risk adjustment of 2.45% of PPR </t>
  </si>
  <si>
    <t>1% of PPR withheld for the first 3 mo only ss</t>
  </si>
  <si>
    <t>Enrollment Actual</t>
  </si>
  <si>
    <t>Title IA</t>
  </si>
  <si>
    <t>IDEA Part B</t>
  </si>
  <si>
    <t>Title I (Low Range)</t>
  </si>
  <si>
    <t>At Risk Per Pupil Addtl Funding</t>
  </si>
  <si>
    <t>Grant Code:</t>
  </si>
  <si>
    <t>Grant Name:</t>
  </si>
  <si>
    <t>Notes:</t>
  </si>
  <si>
    <t>4010-L</t>
  </si>
  <si>
    <t>CSI Admin Rebate</t>
  </si>
  <si>
    <t>Title I</t>
  </si>
  <si>
    <t>FY 2024-25 Adopted Budget</t>
  </si>
  <si>
    <t>FY 2024-25 Amended Budget</t>
  </si>
  <si>
    <t>FY 2024-25 Adopted Budget vs.  
FY 2023-24 Amended Budget</t>
  </si>
  <si>
    <t>Universal Screening</t>
  </si>
  <si>
    <t>FY 2025-26 Proposed Budget</t>
  </si>
  <si>
    <t>Notes for FY25-26  Proposed Budget</t>
  </si>
  <si>
    <t>Projection from Fy 24-25 Amended Budget</t>
  </si>
  <si>
    <t>Based on Fy26 Salary Sheet and Health Increase</t>
  </si>
  <si>
    <t>Trending around 95k in Fy25</t>
  </si>
  <si>
    <t>Trending around 70k Fy25</t>
  </si>
  <si>
    <t>Trending around 27k Fy25</t>
  </si>
  <si>
    <t>Increase for Fy25 actual</t>
  </si>
  <si>
    <t>Total Federal</t>
  </si>
  <si>
    <t>Total State:</t>
  </si>
  <si>
    <t>Verify with CSI when its published (Mar 25)</t>
  </si>
  <si>
    <t>State Sources</t>
  </si>
  <si>
    <t>2025 -26  Proposed Budget Highlights</t>
  </si>
  <si>
    <t>As of Mar 13, 2025 from CSI</t>
  </si>
  <si>
    <t>per debt service schedule</t>
  </si>
  <si>
    <t>Trial Balance</t>
  </si>
  <si>
    <t>As of February 28, 2025</t>
  </si>
  <si>
    <t>Debit</t>
  </si>
  <si>
    <t>Credit</t>
  </si>
  <si>
    <t>FY26 Budget</t>
  </si>
  <si>
    <t>8100000 Cash and Investments</t>
  </si>
  <si>
    <t>A</t>
  </si>
  <si>
    <t>8101120 Cash and Investments:Cash in Vectra Bank:Reserve for SPED</t>
  </si>
  <si>
    <t>8101100 Cash and Investments:Cash in Colotrust</t>
  </si>
  <si>
    <t>8101101 Cash and Investments:Cash in Colotrust:General Fund</t>
  </si>
  <si>
    <t>8101102 Cash and Investments:Cash in Colotrust:Reserve for TABOR</t>
  </si>
  <si>
    <t>8101105 Cash and Investments:Cash in Colotrust:Free &amp; Reduced Savings</t>
  </si>
  <si>
    <t>8103000 Cash and Investments:Petty Cash</t>
  </si>
  <si>
    <t>8103500 Cash and Investments:Petty Cash:Petty Cash-Office</t>
  </si>
  <si>
    <t>8103600 Cash and Investments:Petty Cash:Petty Cash-School Store</t>
  </si>
  <si>
    <t>8103700 Cash and Investments:Petty Cash:Petty Cash-Food Services</t>
  </si>
  <si>
    <t>11400 RECEIVABLE</t>
  </si>
  <si>
    <t>8153000 Accounts Receivable</t>
  </si>
  <si>
    <t>8240000 A/R - CSI</t>
  </si>
  <si>
    <t>8243113 A/R - CSI:Capital Construction</t>
  </si>
  <si>
    <t>8243259 A/R - CSI:READ Receivable</t>
  </si>
  <si>
    <t>8243951 A/R - CSI:Mill Levy Funds</t>
  </si>
  <si>
    <t>8244027 A/R - CSI:IDEA Receivable</t>
  </si>
  <si>
    <t>8244365 A/R - CSI:Title IIIA Receivable</t>
  </si>
  <si>
    <t>8244367 A/R - CSI:Title IIA Receivable</t>
  </si>
  <si>
    <t>8244414 A/R - CSI:ESSER III Receivable</t>
  </si>
  <si>
    <t>8244436 A/R - CSI:Mentor Program Grant Receivable</t>
  </si>
  <si>
    <t>8249414 A/R - CSI:ESSER III LL Receivable</t>
  </si>
  <si>
    <t>8008141 CSI Receivable</t>
  </si>
  <si>
    <t>8008142 Grants Receivable</t>
  </si>
  <si>
    <t>8142000 Grants Accounts Receivable</t>
  </si>
  <si>
    <t>8150000 PTO Accounts Receivable</t>
  </si>
  <si>
    <t>8150100 Due from IRS</t>
  </si>
  <si>
    <t>8150500 Payroll Holding</t>
  </si>
  <si>
    <t>11.951.31.0000.8150.000.0000</t>
  </si>
  <si>
    <t>8151000 Employee Advances</t>
  </si>
  <si>
    <t>8153301 CSI PPR Funding Receivable</t>
  </si>
  <si>
    <t>8153311 At Risk Supplemental Receivable</t>
  </si>
  <si>
    <t>8181000 Prepaid Expenses</t>
  </si>
  <si>
    <t>11.951.31.0000.8181.000.0000</t>
  </si>
  <si>
    <t>8191100 Undeposited Funds</t>
  </si>
  <si>
    <t>8231100 Buildings</t>
  </si>
  <si>
    <t>8231200 Building Improvements</t>
  </si>
  <si>
    <t>11.951.31.0000.8231.000.0000</t>
  </si>
  <si>
    <t>8241100 Machinery and Equipment:Computers</t>
  </si>
  <si>
    <t>8241400 Machinery and Equipment:Playground Equipment</t>
  </si>
  <si>
    <t>8241900 Machinery and Equipment:Other Equipment</t>
  </si>
  <si>
    <t>8241550 Auditorium Lighting</t>
  </si>
  <si>
    <t>8243000 Vehicles</t>
  </si>
  <si>
    <t>8253000 Accumulated Depreciation</t>
  </si>
  <si>
    <t>8599000 Debt Discount</t>
  </si>
  <si>
    <t>8801000 Deferred Outflows of Resources:Related to Pensions</t>
  </si>
  <si>
    <t>8900001 SECURITY DEPOSIT</t>
  </si>
  <si>
    <t>8900002 OPTION TO BUY DEPOSIT</t>
  </si>
  <si>
    <t>7421000 Accounts Payable</t>
  </si>
  <si>
    <t>L</t>
  </si>
  <si>
    <t>11.951.00.0000.7424.000.0000</t>
  </si>
  <si>
    <t>7412000 Vectra Bank Credit Card:Vectra CC - Laura</t>
  </si>
  <si>
    <t>Vectra Bank Credit Card:Vectra CC - Mike Mcaffery</t>
  </si>
  <si>
    <t>Vectra Bank Credit Card:Vectra CC - Tom</t>
  </si>
  <si>
    <t>Vectra Bank Credit Card:Vectra CC - Wes</t>
  </si>
  <si>
    <t>7461000 Accrued Salaries and Benefits</t>
  </si>
  <si>
    <t>7461100 Accrued Salaries and Benefits:Wages Payable</t>
  </si>
  <si>
    <t>11.951.00.0000.7461.000.0000</t>
  </si>
  <si>
    <t>7461200 Accrued Salaries and Benefits:Benefits Payable</t>
  </si>
  <si>
    <t>7471000 Payroll Liabilities</t>
  </si>
  <si>
    <t>7471100 Payroll Liabilities:Fed Income Tax Payable</t>
  </si>
  <si>
    <t>7471110 Payroll Liabilities:Medicare Payable</t>
  </si>
  <si>
    <t>11.951.00.0000.7471.000.0000</t>
  </si>
  <si>
    <t>7471300 Payroll Liabilities:Garnishments</t>
  </si>
  <si>
    <t>7471400 Payroll Liabilities:HSA Payable</t>
  </si>
  <si>
    <t>7471500 Payroll Liabilities:Health Insurance Liability</t>
  </si>
  <si>
    <t>7471600 Payroll Liabilities:PERA Payable</t>
  </si>
  <si>
    <t>7471650 Payroll Liabilities:PERA 401K Payable</t>
  </si>
  <si>
    <t>7471670 Payroll Liabilities:PERA Employee Contributions-Prior Years</t>
  </si>
  <si>
    <t>7471700 Payroll Liabilities:State Withholding Payable</t>
  </si>
  <si>
    <t>7471800 Payroll Liabilities:State Unemployment Payable</t>
  </si>
  <si>
    <t>7471810 Payroll Liabilities:CO FLP</t>
  </si>
  <si>
    <t>7471900 Payroll Liabilities:Direct Deposit Liabilities</t>
  </si>
  <si>
    <t>7481000 Unearned or Deferred Revenue</t>
  </si>
  <si>
    <t>7481200 At Risk Adjustment End January</t>
  </si>
  <si>
    <t>7495000 Rental Deposits Payable</t>
  </si>
  <si>
    <t>11.951.00.0000.7495.000.0000</t>
  </si>
  <si>
    <t>7521000 Note Payable</t>
  </si>
  <si>
    <t>7801000 Deferred Inflows of Resources:Related to Pensions</t>
  </si>
  <si>
    <t>3001 Opening Bal Equity</t>
  </si>
  <si>
    <t>6760000 Assigned Fund For LTD</t>
  </si>
  <si>
    <t>6770000 Unassigned Fund Balance</t>
  </si>
  <si>
    <t>11.951.00.0000.6770.000.0000</t>
  </si>
  <si>
    <t>E</t>
  </si>
  <si>
    <t>6790000 Investment Capital Assets</t>
  </si>
  <si>
    <t>6791100 Restricted For Emergencies</t>
  </si>
  <si>
    <t>11.951.00.0000.6720.000.0000</t>
  </si>
  <si>
    <t>6791200 Restricted for Debt Service</t>
  </si>
  <si>
    <t>6792000 Unrestricted</t>
  </si>
  <si>
    <t>11.951.00.0000.6750.000.0000</t>
  </si>
  <si>
    <t>9010300 Local Sources:Fund Raising</t>
  </si>
  <si>
    <t>I</t>
  </si>
  <si>
    <t>9010400 Local Sources:Rental Income</t>
  </si>
  <si>
    <t>9010600 Local Sources:Athletic Fees</t>
  </si>
  <si>
    <t>9010700 Local Sources:Student Council Fees</t>
  </si>
  <si>
    <t>9010850 Local Sources:After School Care</t>
  </si>
  <si>
    <t>9011000 Local Sources:Field Trip Fees</t>
  </si>
  <si>
    <t>9011100 Local Sources:Yearbook Sales</t>
  </si>
  <si>
    <t>9011300 Local Sources:Art Club Fees</t>
  </si>
  <si>
    <t>9011400 Local Sources:Library Funds</t>
  </si>
  <si>
    <t>9011500 Local Sources:Music Equipment and Supplies Income</t>
  </si>
  <si>
    <t>9011600 Local Sources:Instructional Supply Fee</t>
  </si>
  <si>
    <t>9012000 Local Sources:Donations</t>
  </si>
  <si>
    <t>9019500 Local Sources:Discounts/Refunds Given</t>
  </si>
  <si>
    <t>9019900 Local Sources:Uncategorized Income</t>
  </si>
  <si>
    <t>9020700 Intermediate Sources:Interest Income</t>
  </si>
  <si>
    <t>9020900 Intermediate Sources:Miscellaneous Income</t>
  </si>
  <si>
    <t>9023951 Intermediate Sources:Mill Levy Funds</t>
  </si>
  <si>
    <t>9030000 State Sources</t>
  </si>
  <si>
    <t>11.951.00.0000.3000.000.0000</t>
  </si>
  <si>
    <t>9033130 State Sources:State Grants:ECEA Funding</t>
  </si>
  <si>
    <t>9033140 State Sources:State Grants:ELPA Funding</t>
  </si>
  <si>
    <t>9033150 State Sources:State Grants:Gifted &amp; Talented Funding</t>
  </si>
  <si>
    <t>9033228 State Sources:State Grants:Gifted &amp; Talented Universal Funding</t>
  </si>
  <si>
    <t>9033110 State Sources:PPR Funding</t>
  </si>
  <si>
    <t>9033113 State Sources:Capital Construction</t>
  </si>
  <si>
    <t>9042900 Federal Sources:Federal Grants:ESL Title IIIA</t>
  </si>
  <si>
    <t>11.951.00.0000.4010.000.4365</t>
  </si>
  <si>
    <t>9044010 Federal Sources:Federal Grants:Title 1A</t>
  </si>
  <si>
    <t>9044027 Federal Sources:Federal Grants:IDEA Part B</t>
  </si>
  <si>
    <t>9044436 Federal Sources:Mentor Program Grant</t>
  </si>
  <si>
    <t>11.951.00.0000.4010.000.4436</t>
  </si>
  <si>
    <t>0800000 Uncategorized Expense</t>
  </si>
  <si>
    <t>11.951.00.0000.0800.000.0000</t>
  </si>
  <si>
    <t>X</t>
  </si>
  <si>
    <t>I changed the code on this line to be 0800</t>
  </si>
  <si>
    <t>1000000 INSTRUCTION</t>
  </si>
  <si>
    <t>11.951.00.0010.0350.000.0000</t>
  </si>
  <si>
    <t>0321000 INSTRUCTION:PROFESSIONAL EDUCATION SVCS:CONFERENCES &amp; CONVENTIONS</t>
  </si>
  <si>
    <t>11.951.00.2100.0580.000.0000</t>
  </si>
  <si>
    <t>1001001 INSTRUCTION:Salaries:Teachers</t>
  </si>
  <si>
    <t>11.951.00.0010.0110.200.0000</t>
  </si>
  <si>
    <t>1001002 INSTRUCTION:Salaries:Aides</t>
  </si>
  <si>
    <t>11.951.00.0010.0110.400.0000</t>
  </si>
  <si>
    <t>1001003 INSTRUCTION:Salaries:Substitutes</t>
  </si>
  <si>
    <t>11.951.00.0010.0110.207.0000</t>
  </si>
  <si>
    <t>1001004 INSTRUCTION:Salaries:Teachers Specials</t>
  </si>
  <si>
    <t>11.951.00.0010.0110.415.0000</t>
  </si>
  <si>
    <t>1001005 INSTRUCTION:Salaries:Teachers SPED</t>
  </si>
  <si>
    <t>11.951.00.1700.0110.200.0000</t>
  </si>
  <si>
    <t>1001007 INSTRUCTION:Salaries:Bonuses</t>
  </si>
  <si>
    <t>11.951.00.0010.0150.200.0000</t>
  </si>
  <si>
    <t>1001008 INSTRUCTION:Salaries:DTO</t>
  </si>
  <si>
    <t>11.951.00.0010.0260.200.0000</t>
  </si>
  <si>
    <t>1001010 INSTRUCTION:Salaries:Lead Teacher Stipend</t>
  </si>
  <si>
    <t>3130100 INSTRUCTION:Salaries:ECEA - Salaries</t>
  </si>
  <si>
    <t>4010100 INSTRUCTION:Salaries:Title IA - Salaries</t>
  </si>
  <si>
    <t>11.951.00.0010.0110.200.4010</t>
  </si>
  <si>
    <t>4027100 INSTRUCTION:Salaries:IDEA - Salaries</t>
  </si>
  <si>
    <t>4367100 INSTRUCTION:Salaries:Title IIA - Salaries</t>
  </si>
  <si>
    <t>1002000 INSTRUCTION:Benefits</t>
  </si>
  <si>
    <t>11.951.00.0010.0250.200.0000</t>
  </si>
  <si>
    <t>1002001 INSTRUCTION:Benefits:Health Ins - Teachers</t>
  </si>
  <si>
    <t>1002002 INSTRUCTION:Benefits:Health Ins - Aides</t>
  </si>
  <si>
    <t>11.951.00.0010.0250.400.0000</t>
  </si>
  <si>
    <t>1002004 INSTRUCTION:Benefits:Health Ins - Teachers Specials</t>
  </si>
  <si>
    <t>11.951.00.0010.0250.415.0000</t>
  </si>
  <si>
    <t>1002005 INSTRUCTION:Benefits:Health Ins - Teachers SPED</t>
  </si>
  <si>
    <t>11.951.00.1700.0250.200.0000</t>
  </si>
  <si>
    <t>1002006 INSTRUCTION:Benefits:PERA - Teachers</t>
  </si>
  <si>
    <t>11.951.00.0010.0230.200.0000</t>
  </si>
  <si>
    <t>1002007 INSTRUCTION:Benefits:PERA - Aides</t>
  </si>
  <si>
    <t>11.951.00.0010.0230.400.0000</t>
  </si>
  <si>
    <t>1002008 INSTRUCTION:Benefits:PERA - Substitutes</t>
  </si>
  <si>
    <t>11.951.00.0010.0230.207.0000</t>
  </si>
  <si>
    <t>1002009 INSTRUCTION:Benefits:PERA - Teachers Specials</t>
  </si>
  <si>
    <t>11.951.00.0010.0230.415.0000</t>
  </si>
  <si>
    <t>1002010 INSTRUCTION:Benefits:PERA - Teachers SPED</t>
  </si>
  <si>
    <t>11.951.00.1700.0230.200.0000</t>
  </si>
  <si>
    <t>1002011 INSTRUCTION:Benefits:Medicare - Teachers</t>
  </si>
  <si>
    <t>11.951.00.0010.0220.200.0000</t>
  </si>
  <si>
    <t>1002012 INSTRUCTION:Benefits:Medicare - Aides</t>
  </si>
  <si>
    <t>11.951.00.0010.0220.400.0000</t>
  </si>
  <si>
    <t>1002013 INSTRUCTION:Benefits:Medicare - Substitutes</t>
  </si>
  <si>
    <t>11.951.00.0010.0220.207.0000</t>
  </si>
  <si>
    <t>1002014 INSTRUCTION:Benefits:Medicare - Teachers Specials</t>
  </si>
  <si>
    <t>11.951.00.0010.0220.415.0000</t>
  </si>
  <si>
    <t>1002015 INSTRUCTION:Benefits:Medicare - Teachers SPED</t>
  </si>
  <si>
    <t>11.951.00.1700.0220.200.0000</t>
  </si>
  <si>
    <t>1002021 INSTRUCTION:Benefits:State Unemployment - Teachers</t>
  </si>
  <si>
    <t>11.951.00.0010.0215.200.0000</t>
  </si>
  <si>
    <t>1002022 INSTRUCTION:Benefits:State Unemployment - Aides</t>
  </si>
  <si>
    <t>11.951.00.0010.0215.400.0000</t>
  </si>
  <si>
    <t>1002023 INSTRUCTION:Benefits:State Unemployment-Substitutes</t>
  </si>
  <si>
    <t>11.951.00.0010.0215.207.0000</t>
  </si>
  <si>
    <t>1002024 INSTRUCTION:Benefits:State Unemploy - Teachers Spec</t>
  </si>
  <si>
    <t>11.951.00.0010.0215.415.0000</t>
  </si>
  <si>
    <t>1002025 INSTRUCTION:Benefits:State Unemployment-Teachers SPED</t>
  </si>
  <si>
    <t>11.951.00.1700.0215.200.0000</t>
  </si>
  <si>
    <t>1002100 INSTRUCTION:Benefits:Workers Comp Insurance</t>
  </si>
  <si>
    <t>11.951.00.0010.0526.000.0000</t>
  </si>
  <si>
    <t>3130200 INSTRUCTION:Benefits:ECEA - Benefits</t>
  </si>
  <si>
    <t>4010200 INSTRUCTION:Benefits:Title IA - Benefits</t>
  </si>
  <si>
    <t>11.951.00.0010.0250.200.4010</t>
  </si>
  <si>
    <t>4027200 INSTRUCTION:Benefits:IDEA - Benefits</t>
  </si>
  <si>
    <t>1003000 INSTRUCTION:Purchased Services</t>
  </si>
  <si>
    <t>11.951.00.0010.0300.200.0000</t>
  </si>
  <si>
    <t>1006000 INSTRUCTION:Supplies and Materials</t>
  </si>
  <si>
    <t>11.951.00.0010.0600.000.0000</t>
  </si>
  <si>
    <t>1006010 INSTRUCTION:Supplies and Materials:Texts and Curricula</t>
  </si>
  <si>
    <t>1006020 INSTRUCTION:Supplies and Materials:Instructional Supplies</t>
  </si>
  <si>
    <t>1006040 INSTRUCTION:Supplies and Materials:Library Online Services</t>
  </si>
  <si>
    <t>1006050 INSTRUCTION:Supplies and Materials:NWEA</t>
  </si>
  <si>
    <t>1006090 INSTRUCTION:Supplies and Materials:PE Supplies</t>
  </si>
  <si>
    <t>3140600 INSTRUCTION:Supplies and Materials:ELPA - Supplies</t>
  </si>
  <si>
    <t>3228600 INSTRUCTION:Supplies and Materials:Gifted &amp; Talented Universal - Supplies</t>
  </si>
  <si>
    <t>4010600 INSTRUCTION:Supplies and Materials:Title IA - Supplies</t>
  </si>
  <si>
    <t>11.951.00.0010.0600.000.4010</t>
  </si>
  <si>
    <t>0810000 INSTRUCTION:Other:DUES, SUBSCRIPTIONS &amp; FEES</t>
  </si>
  <si>
    <t>11.951.00.0010.0810.000.0000</t>
  </si>
  <si>
    <t>2101002 SUPPORTING SERVICES:Salaries:Nurse</t>
  </si>
  <si>
    <t>11.951.00.2100.0110.233.0000</t>
  </si>
  <si>
    <t>2101003 SUPPORTING SERVICES:Salaries:Counselor</t>
  </si>
  <si>
    <t>11.951.00.2100.0110.211.0000</t>
  </si>
  <si>
    <t>2101007 SUPPORTING SERVICES:Salaries:Bonuses</t>
  </si>
  <si>
    <t>11.951.00.2100.0150.000.0000</t>
  </si>
  <si>
    <t>2101008 SUPPORTING SERVICES:Salaries:DTO</t>
  </si>
  <si>
    <t>11.951.00.2100.0260.000.0000</t>
  </si>
  <si>
    <t>2101100 SUPPORTING SERVICES:Salaries:Coaches</t>
  </si>
  <si>
    <t>11.951.00.0010.0210.000.0000</t>
  </si>
  <si>
    <t>2102002 SUPPORTING SERVICES:Benefits:Health Ins - Nurse</t>
  </si>
  <si>
    <t>11.951.00.2100.0250.233.0000</t>
  </si>
  <si>
    <t>2102011 SUPPORTING SERVICES:Benefits:PERA - Nurse</t>
  </si>
  <si>
    <t>11.951.00.2100.0230.233.0000</t>
  </si>
  <si>
    <t>2102012 SUPPORTING SERVICES:Benefits:PERA - Counselor</t>
  </si>
  <si>
    <t>11.951.00.2100.0230.211.0000</t>
  </si>
  <si>
    <t>2102016 SUPPORTING SERVICES:Benefits:Medicare - Nurse</t>
  </si>
  <si>
    <t>11.951.00.2100.0220.233.0000</t>
  </si>
  <si>
    <t>2102017 SUPPORTING SERVICES:Benefits:Medicare - Counselor</t>
  </si>
  <si>
    <t>11.951.00.2100.0220.211.0000</t>
  </si>
  <si>
    <t>2102022 SUPPORTING SERVICES:Benefits:State Unemployment-Nurse</t>
  </si>
  <si>
    <t>11.951.00.2100.0215.233.0000</t>
  </si>
  <si>
    <t>2102023 SUPPORTING SERVICES:Benefits:State Unemployment-Counselor</t>
  </si>
  <si>
    <t>11.951.00.2100.0215.211.0000</t>
  </si>
  <si>
    <t>2102100 SUPPORTING SERVICES:Benefits:Workers Comp Insurance</t>
  </si>
  <si>
    <t>11.951.00.2100.0526.000.0000</t>
  </si>
  <si>
    <t>2103000 SUPPORTING SERVICES:Purchased Services</t>
  </si>
  <si>
    <t>11.951.00.2100.0300.000.0000</t>
  </si>
  <si>
    <t>11.951.00.2100.0340.000.0000</t>
  </si>
  <si>
    <t>4365300 SUPPORTING SERVICES:Purchased Services:Title IIIA</t>
  </si>
  <si>
    <t>2401001 SCHOOL ADMINISTRATION:Salaries:Executive Staff</t>
  </si>
  <si>
    <t>11.951.00.2400.0110.105.0000</t>
  </si>
  <si>
    <t>2401002 SCHOOL ADMINISTRATION:Salaries:Admin Staff</t>
  </si>
  <si>
    <t>11.951.00.2400.0110.106.0000</t>
  </si>
  <si>
    <t>2401007 SCHOOL ADMINISTRATION:Salaries:Bonuses</t>
  </si>
  <si>
    <t>11.951.00.2400.0150.000.0000</t>
  </si>
  <si>
    <t>2401008 SCHOOL ADMINISTRATION:Salaries:DTO</t>
  </si>
  <si>
    <t>11.951.00.2400.0260.105.0000</t>
  </si>
  <si>
    <t>2402001 SCHOOL ADMINISTRATION:Benefits:Health Ins - Executive Staff</t>
  </si>
  <si>
    <t>11.951.00.2400.0250.105.0000</t>
  </si>
  <si>
    <t>2402002 SCHOOL ADMINISTRATION:Benefits:Health Ins - Admin Staff</t>
  </si>
  <si>
    <t>11.951.00.2400.0250.106.0000</t>
  </si>
  <si>
    <t>2402003 SCHOOL ADMINISTRATION:Benefits:PERA - Executive Staff</t>
  </si>
  <si>
    <t>11.951.00.2400.0230.105.0000</t>
  </si>
  <si>
    <t>2402004 SCHOOL ADMINISTRATION:Benefits:PERA - Admin Staff</t>
  </si>
  <si>
    <t>11.951.00.2400.0230.106.0000</t>
  </si>
  <si>
    <t>2402005 SCHOOL ADMINISTRATION:Benefits:Medicare - Executive Staff</t>
  </si>
  <si>
    <t>11.951.00.2400.0220.105.0000</t>
  </si>
  <si>
    <t>2402006 SCHOOL ADMINISTRATION:Benefits:Medicare - Admin Staff</t>
  </si>
  <si>
    <t>11.951.00.2400.0220.106.0000</t>
  </si>
  <si>
    <t>2402021 SCHOOL ADMINISTRATION:Benefits:State Unemployment-Exec Staff</t>
  </si>
  <si>
    <t>11.951.00.2400.0215.105.0000</t>
  </si>
  <si>
    <t>2402022 SCHOOL ADMINISTRATION:Benefits:State Unemployment-Admin Staff</t>
  </si>
  <si>
    <t>11.951.00.2400.0215.106.0000</t>
  </si>
  <si>
    <t>2402100 SCHOOL ADMINISTRATION:Benefits:Workers Comp Insurance</t>
  </si>
  <si>
    <t>11.951.00.2400.0583.000.0000</t>
  </si>
  <si>
    <t>2408030 SCHOOL ADMINISTRATION:Other:Mileage Reimbursements</t>
  </si>
  <si>
    <t>11.951.00.2400.0526.000.0000</t>
  </si>
  <si>
    <t>2500000 BUSINESS SERVICES</t>
  </si>
  <si>
    <t>11.951.00.2500.0110.000.0000</t>
  </si>
  <si>
    <t>2503000 BUSINESS SERVICES:Purchased Services</t>
  </si>
  <si>
    <t>2503010 BUSINESS SERVICES:Purchased Services:Audit</t>
  </si>
  <si>
    <t>11.951.00.2300.0332.000.0000</t>
  </si>
  <si>
    <t>2503020 BUSINESS SERVICES:Purchased Services:Accounting Services</t>
  </si>
  <si>
    <t>11.951.00.2500.0334.000.0000</t>
  </si>
  <si>
    <t>2503030 BUSINESS SERVICES:Purchased Services:Legal</t>
  </si>
  <si>
    <t>11.951.00.2300.0331.000.0000</t>
  </si>
  <si>
    <t>2503055 BUSINESS SERVICES:Purchased Services:Other Professional Services</t>
  </si>
  <si>
    <t>11.951.00.2500.0330.000.0000</t>
  </si>
  <si>
    <t>2503060 BUSINESS SERVICES:Purchased Services:Fingerprint Background</t>
  </si>
  <si>
    <t>2506000 BUSINESS SERVICES:Supplies and Materials</t>
  </si>
  <si>
    <t>11.951.00.2500.0600.000.0000</t>
  </si>
  <si>
    <t>2506110 BUSINESS SERVICES:Supplies and Materials:Communications:Telephone / Fax / Internet</t>
  </si>
  <si>
    <t>11.951.00.2500.0530.000.0000</t>
  </si>
  <si>
    <t>2506220 BUSINESS SERVICES:Supplies and Materials:Technology &amp; Equipment:Website Maintenance</t>
  </si>
  <si>
    <t>11.951.00.2500.0432.000.0000</t>
  </si>
  <si>
    <t>11.951.00.2500.0650.000.0000</t>
  </si>
  <si>
    <t>2506240 BUSINESS SERVICES:Supplies and Materials:Technology &amp; Equipment:PowerSchool</t>
  </si>
  <si>
    <t>2506320 BUSINESS SERVICES:Supplies and Materials:Supplies:Copies and Copier Leases</t>
  </si>
  <si>
    <t>11.951.00.2500.0442.000.0000</t>
  </si>
  <si>
    <t>2508010 BUSINESS SERVICES:Other:CSI 3% Withholding</t>
  </si>
  <si>
    <t>11.951.00.2500.0597.000.0000</t>
  </si>
  <si>
    <t>2508020 BUSINESS SERVICES:Other:CDE 1% Withholding</t>
  </si>
  <si>
    <t>11.951.00.2500.0595.000.0000</t>
  </si>
  <si>
    <t>2508040 BUSINESS SERVICES:Other:Bank Service Charges</t>
  </si>
  <si>
    <t>11.951.00.2500.0313.000.0000</t>
  </si>
  <si>
    <t>2508050 BUSINESS SERVICES:Other:Advertising</t>
  </si>
  <si>
    <t>11.951.00.2500.0540.000.0000</t>
  </si>
  <si>
    <t>2600000 OPERATIONS AND MAINTENANCE</t>
  </si>
  <si>
    <t>11.951.00.2600.0850.000.0000</t>
  </si>
  <si>
    <t>2601001 OPERATIONS AND MAINTENANCE:Salaries:Maintenance Staff</t>
  </si>
  <si>
    <t>11.951.00.2600.0110.000.0000</t>
  </si>
  <si>
    <t>2601007 OPERATIONS AND MAINTENANCE:Salaries:Bonuses</t>
  </si>
  <si>
    <t>11.951.00.2600.0150.000.0000</t>
  </si>
  <si>
    <t>2601008 OPERATIONS AND MAINTENANCE:Salaries:DTO</t>
  </si>
  <si>
    <t>11.951.00.2600.0260.000.0000</t>
  </si>
  <si>
    <t>2602001 OPERATIONS AND MAINTENANCE:Benefits:Health Ins - Maintenance Staff</t>
  </si>
  <si>
    <t>11.951.00.2600.0250.000.0000</t>
  </si>
  <si>
    <t>2602002 OPERATIONS AND MAINTENANCE:Benefits:PERA - Maintenance Staff</t>
  </si>
  <si>
    <t>11.951.00.2600.0230.000.0000</t>
  </si>
  <si>
    <t>2602003 OPERATIONS AND MAINTENANCE:Benefits:Medicare - Maintenance Staff</t>
  </si>
  <si>
    <t>11.951.00.2600.0220.000.0000</t>
  </si>
  <si>
    <t>2602021 OPERATIONS AND MAINTENANCE:Benefits:State Unemployment-Maint Staff</t>
  </si>
  <si>
    <t>11.951.00.2600.0215.000.0000</t>
  </si>
  <si>
    <t>2602100 OPERATIONS AND MAINTENANCE:Benefits:Workers Comp Insurance</t>
  </si>
  <si>
    <t>11.951.00.2600.0216.000.0000</t>
  </si>
  <si>
    <t>2603000 OPERATIONS AND MAINTENANCE:Purchased Services</t>
  </si>
  <si>
    <t>2603010 OPERATIONS AND MAINTENANCE:Purchased Services:Janitorial Services</t>
  </si>
  <si>
    <t>11.951.00.2600.0423.000.0000</t>
  </si>
  <si>
    <t>2603020 OPERATIONS AND MAINTENANCE:Purchased Services:Snow Removal</t>
  </si>
  <si>
    <t>11.951.00.2600.0422.000.0000</t>
  </si>
  <si>
    <t>2603030 OPERATIONS AND MAINTENANCE:Purchased Services:Inspections</t>
  </si>
  <si>
    <t>11.951.00.2600.0431.000.0000</t>
  </si>
  <si>
    <t>2603040 OPERATIONS AND MAINTENANCE:Purchased Services:Fire Alarm Monitoring</t>
  </si>
  <si>
    <t>11.951.00.2600.0432.000.0000</t>
  </si>
  <si>
    <t>2603050 OPERATIONS AND MAINTENANCE:Purchased Services:Trash/Shred</t>
  </si>
  <si>
    <t>11.951.00.2600.0421.000.0000</t>
  </si>
  <si>
    <t>2603060 OPERATIONS AND MAINTENANCE:Purchased Services:Utilities</t>
  </si>
  <si>
    <t>11.951.00.2600.0410.000.0000</t>
  </si>
  <si>
    <t>2603070 OPERATIONS AND MAINTENANCE:Purchased Services:Pest Control</t>
  </si>
  <si>
    <t>11.951.00.2600.0490.000.0000</t>
  </si>
  <si>
    <t>2606000 OPERATIONS AND MAINTENANCE:Supplies and Materials</t>
  </si>
  <si>
    <t>11.951.00.2600.0600.000.0000</t>
  </si>
  <si>
    <t>2606010 OPERATIONS AND MAINTENANCE:Supplies and Materials:Building Maintenance</t>
  </si>
  <si>
    <t>11.951.00.2600.0610.000.0000</t>
  </si>
  <si>
    <t>2606055 OPERATIONS AND MAINTENANCE:Supplies and Materials:Vehicle Fuel</t>
  </si>
  <si>
    <t>11.951.00.2600.0626.000.0000</t>
  </si>
  <si>
    <t>2606060 OPERATIONS AND MAINTENANCE:Supplies and Materials:Health and Safety</t>
  </si>
  <si>
    <t>2606070 OPERATIONS AND MAINTENANCE:Supplies and Materials:Rental Property Maintenance</t>
  </si>
  <si>
    <t>11.951.00.2600.0450.000.0000</t>
  </si>
  <si>
    <t>2606090 OPERATIONS AND MAINTENANCE:Supplies and Materials:Janitorial Supplies</t>
  </si>
  <si>
    <t>2606100 OPERATIONS AND MAINTENANCE:Supplies and Materials:Facilities Supplies</t>
  </si>
  <si>
    <t>2607000 OPERATIONS AND MAINTENANCE:Property</t>
  </si>
  <si>
    <t>11.951.00.2600.0720.000.0000</t>
  </si>
  <si>
    <t>2607020 OPERATIONS AND MAINTENANCE:Property:Furnishings</t>
  </si>
  <si>
    <t>11.951.00.2600.0730.000.0000</t>
  </si>
  <si>
    <t>3303010 COMMUNITY SERVICES:Purchased Services:D11 Food Service</t>
  </si>
  <si>
    <t>11.951.00.3100.0390.000.0000</t>
  </si>
  <si>
    <t>3308000 COMMUNITY SERVICES:Other</t>
  </si>
  <si>
    <t>11.951.00.3300.0390.000.0000</t>
  </si>
  <si>
    <t>3308055 COMMUNITY SERVICES:Other:EPIC</t>
  </si>
  <si>
    <t>11.951.00.3300.0330.000.0000</t>
  </si>
  <si>
    <t>3308070 COMMUNITY SERVICES:Other:Activity &amp; Field Trip Discounts</t>
  </si>
  <si>
    <t>11.951.00.3300.0580.000.0000</t>
  </si>
  <si>
    <t>3308090 COMMUNITY SERVICES:Other:Athletic Fees</t>
  </si>
  <si>
    <t>11.951.00.1800.0810.000.0000</t>
  </si>
  <si>
    <t>3308095 COMMUNITY SERVICES:Other:Book Club</t>
  </si>
  <si>
    <t>11.951.00.1900.0810.000.0000</t>
  </si>
  <si>
    <t>3308120 COMMUNITY SERVICES:Other:STUCO</t>
  </si>
  <si>
    <t>11.951.00.1900.0600.000.0000</t>
  </si>
  <si>
    <t>4007030 PROPERTY:Property:Bond Administrative Fees</t>
  </si>
  <si>
    <t>11.951.00.2600.0330.000.0000</t>
  </si>
  <si>
    <t>I changed the code on this line to be 2600</t>
  </si>
  <si>
    <t>4007040 PROPERTY:Property:Property &amp; Other General Ins</t>
  </si>
  <si>
    <t>11.951.00.2600.0522.000.0000</t>
  </si>
  <si>
    <t>11.951.00.2130.0600.000.0000</t>
  </si>
  <si>
    <t>4007441 Facility Rental - Intercept Payment</t>
  </si>
  <si>
    <t>11.951.00.2600.0441.000.0000</t>
  </si>
  <si>
    <t>25-26 Enrollment Projection</t>
  </si>
  <si>
    <t>Using revised salary sheet Apr 2, 2025 DB and Z</t>
  </si>
  <si>
    <t>Using CDE Assumption 5% as of April 2, 2025 from CSI</t>
  </si>
  <si>
    <t>Updated Apr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</si>
</sst>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  <numFmt numFmtId="167" formatCode="#,##0.00\ _€"/>
    <numFmt numFmtId="168" formatCode="&quot;$&quot;* #,##0.00\ _€"/>
    <numFmt numFmtId="169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color rgb="FF000000"/>
      <name val="Calibri"/>
      <family val="2"/>
    </font>
    <font>
      <sz val="11"/>
      <color theme="0"/>
      <name val="Cambria"/>
      <family val="1"/>
    </font>
    <font>
      <i/>
      <sz val="11"/>
      <color theme="1"/>
      <name val="Cambria"/>
      <family val="1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mbria"/>
      <family val="1"/>
    </font>
    <font>
      <i/>
      <sz val="9"/>
      <color theme="1"/>
      <name val="Cambria"/>
      <family val="1"/>
    </font>
    <font>
      <u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wrapText="1"/>
    </xf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3" fillId="0" borderId="0"/>
  </cellStyleXfs>
  <cellXfs count="1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1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44" fontId="0" fillId="0" borderId="0" xfId="1" applyFont="1"/>
    <xf numFmtId="0" fontId="2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165" fontId="3" fillId="0" borderId="13" xfId="2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3" borderId="9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 applyAlignment="1">
      <alignment horizontal="left" indent="1"/>
    </xf>
    <xf numFmtId="166" fontId="0" fillId="0" borderId="0" xfId="4" applyNumberFormat="1" applyFont="1"/>
    <xf numFmtId="1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left" indent="2"/>
    </xf>
    <xf numFmtId="164" fontId="2" fillId="0" borderId="0" xfId="1" applyNumberFormat="1" applyFont="1"/>
    <xf numFmtId="164" fontId="0" fillId="0" borderId="0" xfId="1" applyNumberFormat="1" applyFont="1" applyFill="1"/>
    <xf numFmtId="44" fontId="0" fillId="0" borderId="0" xfId="1" applyFont="1" applyFill="1"/>
    <xf numFmtId="3" fontId="3" fillId="0" borderId="0" xfId="0" applyNumberFormat="1" applyFont="1" applyAlignment="1">
      <alignment horizontal="center" vertical="center" wrapText="1"/>
    </xf>
    <xf numFmtId="44" fontId="0" fillId="0" borderId="0" xfId="1" applyFont="1" applyAlignment="1"/>
    <xf numFmtId="10" fontId="0" fillId="0" borderId="0" xfId="2" applyNumberFormat="1" applyFont="1"/>
    <xf numFmtId="0" fontId="0" fillId="5" borderId="0" xfId="0" applyFill="1"/>
    <xf numFmtId="2" fontId="0" fillId="0" borderId="0" xfId="0" applyNumberFormat="1"/>
    <xf numFmtId="0" fontId="12" fillId="0" borderId="0" xfId="5"/>
    <xf numFmtId="0" fontId="12" fillId="7" borderId="0" xfId="5" applyFill="1"/>
    <xf numFmtId="0" fontId="12" fillId="0" borderId="15" xfId="5" applyBorder="1" applyAlignment="1">
      <alignment horizontal="center" wrapText="1"/>
    </xf>
    <xf numFmtId="0" fontId="12" fillId="8" borderId="15" xfId="5" applyFill="1" applyBorder="1" applyAlignment="1">
      <alignment horizontal="center" wrapText="1"/>
    </xf>
    <xf numFmtId="0" fontId="12" fillId="8" borderId="0" xfId="5" applyFill="1" applyAlignment="1">
      <alignment horizontal="center" wrapText="1"/>
    </xf>
    <xf numFmtId="14" fontId="12" fillId="9" borderId="0" xfId="5" applyNumberFormat="1" applyFill="1"/>
    <xf numFmtId="4" fontId="12" fillId="9" borderId="0" xfId="5" applyNumberFormat="1" applyFill="1"/>
    <xf numFmtId="0" fontId="12" fillId="9" borderId="0" xfId="5" applyFill="1"/>
    <xf numFmtId="44" fontId="0" fillId="9" borderId="0" xfId="6" applyFont="1" applyFill="1"/>
    <xf numFmtId="14" fontId="12" fillId="0" borderId="0" xfId="5" applyNumberFormat="1"/>
    <xf numFmtId="4" fontId="12" fillId="0" borderId="0" xfId="5" applyNumberFormat="1"/>
    <xf numFmtId="4" fontId="12" fillId="8" borderId="0" xfId="5" applyNumberFormat="1" applyFill="1"/>
    <xf numFmtId="44" fontId="0" fillId="0" borderId="0" xfId="6" applyFont="1"/>
    <xf numFmtId="43" fontId="12" fillId="0" borderId="0" xfId="5" applyNumberFormat="1"/>
    <xf numFmtId="14" fontId="12" fillId="10" borderId="0" xfId="5" applyNumberFormat="1" applyFill="1"/>
    <xf numFmtId="4" fontId="12" fillId="10" borderId="0" xfId="5" applyNumberFormat="1" applyFill="1"/>
    <xf numFmtId="44" fontId="0" fillId="10" borderId="0" xfId="6" applyFont="1" applyFill="1"/>
    <xf numFmtId="0" fontId="12" fillId="10" borderId="0" xfId="5" applyFill="1"/>
    <xf numFmtId="4" fontId="12" fillId="0" borderId="7" xfId="5" applyNumberFormat="1" applyBorder="1"/>
    <xf numFmtId="4" fontId="12" fillId="8" borderId="7" xfId="5" applyNumberFormat="1" applyFill="1" applyBorder="1"/>
    <xf numFmtId="44" fontId="0" fillId="5" borderId="0" xfId="1" applyFont="1" applyFill="1"/>
    <xf numFmtId="164" fontId="0" fillId="5" borderId="0" xfId="1" applyNumberFormat="1" applyFont="1" applyFill="1"/>
    <xf numFmtId="0" fontId="2" fillId="3" borderId="0" xfId="0" applyFont="1" applyFill="1" applyAlignment="1">
      <alignment wrapText="1"/>
    </xf>
    <xf numFmtId="164" fontId="2" fillId="3" borderId="0" xfId="1" applyNumberFormat="1" applyFont="1" applyFill="1" applyAlignment="1">
      <alignment wrapText="1"/>
    </xf>
    <xf numFmtId="0" fontId="2" fillId="3" borderId="16" xfId="0" applyFont="1" applyFill="1" applyBorder="1" applyAlignment="1">
      <alignment wrapText="1"/>
    </xf>
    <xf numFmtId="44" fontId="2" fillId="3" borderId="16" xfId="1" applyFont="1" applyFill="1" applyBorder="1" applyAlignment="1">
      <alignment wrapText="1"/>
    </xf>
    <xf numFmtId="0" fontId="2" fillId="0" borderId="16" xfId="0" applyFont="1" applyBorder="1" applyAlignment="1">
      <alignment horizontal="left" indent="1"/>
    </xf>
    <xf numFmtId="164" fontId="2" fillId="0" borderId="16" xfId="1" applyNumberFormat="1" applyFont="1" applyBorder="1"/>
    <xf numFmtId="44" fontId="2" fillId="0" borderId="16" xfId="1" applyFont="1" applyBorder="1"/>
    <xf numFmtId="0" fontId="0" fillId="0" borderId="16" xfId="0" applyBorder="1" applyAlignment="1">
      <alignment horizontal="left" indent="2"/>
    </xf>
    <xf numFmtId="44" fontId="0" fillId="0" borderId="16" xfId="1" applyFont="1" applyBorder="1"/>
    <xf numFmtId="164" fontId="0" fillId="0" borderId="16" xfId="1" applyNumberFormat="1" applyFont="1" applyFill="1" applyBorder="1"/>
    <xf numFmtId="44" fontId="0" fillId="0" borderId="16" xfId="1" applyFont="1" applyFill="1" applyBorder="1"/>
    <xf numFmtId="44" fontId="0" fillId="2" borderId="16" xfId="1" applyFont="1" applyFill="1" applyBorder="1"/>
    <xf numFmtId="14" fontId="12" fillId="6" borderId="0" xfId="5" applyNumberFormat="1" applyFill="1"/>
    <xf numFmtId="4" fontId="12" fillId="6" borderId="0" xfId="5" applyNumberFormat="1" applyFill="1"/>
    <xf numFmtId="44" fontId="0" fillId="6" borderId="0" xfId="6" applyFont="1" applyFill="1"/>
    <xf numFmtId="0" fontId="12" fillId="6" borderId="0" xfId="5" applyFill="1"/>
    <xf numFmtId="43" fontId="12" fillId="6" borderId="0" xfId="5" applyNumberFormat="1" applyFill="1"/>
    <xf numFmtId="0" fontId="13" fillId="0" borderId="0" xfId="7"/>
    <xf numFmtId="0" fontId="16" fillId="0" borderId="17" xfId="7" applyFont="1" applyBorder="1" applyAlignment="1">
      <alignment horizontal="center" wrapText="1"/>
    </xf>
    <xf numFmtId="0" fontId="17" fillId="0" borderId="0" xfId="7" applyFont="1" applyAlignment="1">
      <alignment horizontal="left" wrapText="1"/>
    </xf>
    <xf numFmtId="0" fontId="18" fillId="0" borderId="0" xfId="7" applyFont="1" applyAlignment="1">
      <alignment horizontal="left" wrapText="1"/>
    </xf>
    <xf numFmtId="167" fontId="18" fillId="0" borderId="0" xfId="7" applyNumberFormat="1" applyFont="1" applyAlignment="1">
      <alignment horizontal="right" wrapText="1"/>
    </xf>
    <xf numFmtId="168" fontId="17" fillId="0" borderId="13" xfId="7" applyNumberFormat="1" applyFont="1" applyBorder="1" applyAlignment="1">
      <alignment horizontal="right" wrapText="1"/>
    </xf>
    <xf numFmtId="0" fontId="13" fillId="2" borderId="0" xfId="7" applyFill="1"/>
    <xf numFmtId="0" fontId="18" fillId="2" borderId="0" xfId="7" applyFont="1" applyFill="1" applyAlignment="1">
      <alignment horizontal="left" wrapText="1"/>
    </xf>
    <xf numFmtId="167" fontId="18" fillId="2" borderId="0" xfId="7" applyNumberFormat="1" applyFont="1" applyFill="1" applyAlignment="1">
      <alignment horizontal="right" wrapText="1"/>
    </xf>
    <xf numFmtId="44" fontId="13" fillId="0" borderId="0" xfId="1" applyFont="1"/>
    <xf numFmtId="0" fontId="19" fillId="0" borderId="0" xfId="7" applyFont="1"/>
    <xf numFmtId="44" fontId="13" fillId="0" borderId="0" xfId="1" applyFont="1" applyFill="1"/>
    <xf numFmtId="44" fontId="13" fillId="0" borderId="0" xfId="7" applyNumberFormat="1"/>
    <xf numFmtId="0" fontId="4" fillId="2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6" fontId="0" fillId="0" borderId="0" xfId="1" applyNumberFormat="1" applyFont="1"/>
    <xf numFmtId="0" fontId="22" fillId="0" borderId="0" xfId="0" applyFont="1"/>
    <xf numFmtId="165" fontId="3" fillId="3" borderId="13" xfId="2" applyNumberFormat="1" applyFont="1" applyFill="1" applyBorder="1" applyAlignment="1">
      <alignment horizontal="center" vertical="top" wrapText="1"/>
    </xf>
    <xf numFmtId="1" fontId="3" fillId="3" borderId="4" xfId="0" applyNumberFormat="1" applyFont="1" applyFill="1" applyBorder="1" applyAlignment="1">
      <alignment horizontal="center" vertical="top" wrapText="1"/>
    </xf>
    <xf numFmtId="166" fontId="0" fillId="11" borderId="0" xfId="4" applyNumberFormat="1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0" fillId="2" borderId="0" xfId="0" applyFill="1" applyAlignment="1">
      <alignment wrapText="1"/>
    </xf>
    <xf numFmtId="164" fontId="2" fillId="0" borderId="16" xfId="1" applyNumberFormat="1" applyFont="1" applyFill="1" applyBorder="1"/>
    <xf numFmtId="164" fontId="1" fillId="0" borderId="16" xfId="1" applyNumberFormat="1" applyFont="1" applyFill="1" applyBorder="1"/>
    <xf numFmtId="164" fontId="2" fillId="0" borderId="16" xfId="0" applyNumberFormat="1" applyFont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16" xfId="0" applyFont="1" applyBorder="1" applyAlignment="1">
      <alignment horizontal="left"/>
    </xf>
    <xf numFmtId="169" fontId="0" fillId="0" borderId="16" xfId="1" applyNumberFormat="1" applyFont="1" applyBorder="1" applyAlignment="1">
      <alignment horizontal="left"/>
    </xf>
    <xf numFmtId="169" fontId="0" fillId="0" borderId="16" xfId="0" applyNumberFormat="1" applyBorder="1" applyAlignment="1">
      <alignment horizontal="left"/>
    </xf>
    <xf numFmtId="0" fontId="0" fillId="0" borderId="16" xfId="0" applyBorder="1" applyAlignment="1">
      <alignment horizontal="left" wrapText="1"/>
    </xf>
    <xf numFmtId="44" fontId="0" fillId="0" borderId="16" xfId="1" applyFont="1" applyFill="1" applyBorder="1" applyAlignment="1">
      <alignment horizontal="left"/>
    </xf>
    <xf numFmtId="0" fontId="0" fillId="0" borderId="0" xfId="0" applyAlignment="1">
      <alignment horizontal="left"/>
    </xf>
    <xf numFmtId="164" fontId="2" fillId="12" borderId="16" xfId="1" applyNumberFormat="1" applyFont="1" applyFill="1" applyBorder="1"/>
    <xf numFmtId="0" fontId="22" fillId="3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3" fontId="4" fillId="13" borderId="7" xfId="0" applyNumberFormat="1" applyFont="1" applyFill="1" applyBorder="1" applyAlignment="1">
      <alignment horizontal="right" vertical="center" wrapText="1"/>
    </xf>
    <xf numFmtId="44" fontId="0" fillId="14" borderId="0" xfId="1" applyFont="1" applyFill="1"/>
    <xf numFmtId="6" fontId="0" fillId="14" borderId="0" xfId="1" applyNumberFormat="1" applyFont="1" applyFill="1"/>
    <xf numFmtId="3" fontId="4" fillId="0" borderId="8" xfId="0" applyNumberFormat="1" applyFont="1" applyBorder="1" applyAlignment="1">
      <alignment horizontal="right" vertical="center" wrapText="1"/>
    </xf>
    <xf numFmtId="0" fontId="5" fillId="15" borderId="0" xfId="0" applyFont="1" applyFill="1" applyAlignment="1">
      <alignment horizontal="left" vertical="center"/>
    </xf>
    <xf numFmtId="0" fontId="5" fillId="15" borderId="0" xfId="0" applyFont="1" applyFill="1" applyAlignment="1">
      <alignment vertical="center"/>
    </xf>
    <xf numFmtId="3" fontId="4" fillId="15" borderId="6" xfId="0" applyNumberFormat="1" applyFont="1" applyFill="1" applyBorder="1" applyAlignment="1">
      <alignment horizontal="right" vertical="center" wrapText="1"/>
    </xf>
    <xf numFmtId="3" fontId="4" fillId="15" borderId="7" xfId="1" applyNumberFormat="1" applyFont="1" applyFill="1" applyBorder="1" applyAlignment="1">
      <alignment horizontal="right" vertical="center" wrapText="1"/>
    </xf>
    <xf numFmtId="44" fontId="2" fillId="13" borderId="0" xfId="1" applyFont="1" applyFill="1"/>
    <xf numFmtId="0" fontId="25" fillId="0" borderId="0" xfId="0" applyFont="1" applyAlignment="1">
      <alignment horizontal="center" vertical="center"/>
    </xf>
    <xf numFmtId="2" fontId="18" fillId="14" borderId="0" xfId="0" applyNumberFormat="1" applyFont="1" applyFill="1"/>
    <xf numFmtId="0" fontId="16" fillId="0" borderId="1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167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wrapText="1"/>
    </xf>
    <xf numFmtId="2" fontId="18" fillId="5" borderId="0" xfId="0" applyNumberFormat="1" applyFont="1" applyFill="1"/>
    <xf numFmtId="0" fontId="17" fillId="10" borderId="0" xfId="0" applyFont="1" applyFill="1" applyAlignment="1">
      <alignment horizontal="left" wrapText="1"/>
    </xf>
    <xf numFmtId="2" fontId="18" fillId="16" borderId="0" xfId="0" applyNumberFormat="1" applyFont="1" applyFill="1"/>
    <xf numFmtId="168" fontId="17" fillId="0" borderId="13" xfId="0" applyNumberFormat="1" applyFont="1" applyBorder="1" applyAlignment="1">
      <alignment horizontal="right" wrapText="1"/>
    </xf>
    <xf numFmtId="0" fontId="9" fillId="0" borderId="16" xfId="0" applyFont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13" borderId="16" xfId="0" applyFill="1" applyBorder="1"/>
    <xf numFmtId="0" fontId="2" fillId="0" borderId="16" xfId="0" applyFont="1" applyBorder="1" applyAlignment="1">
      <alignment horizontal="center"/>
    </xf>
    <xf numFmtId="0" fontId="26" fillId="0" borderId="0" xfId="0" applyFont="1"/>
    <xf numFmtId="44" fontId="26" fillId="0" borderId="0" xfId="1" applyFont="1" applyAlignment="1">
      <alignment horizontal="center"/>
    </xf>
    <xf numFmtId="44" fontId="26" fillId="0" borderId="0" xfId="1" applyFont="1" applyFill="1"/>
    <xf numFmtId="44" fontId="26" fillId="14" borderId="0" xfId="1" applyFont="1" applyFill="1"/>
    <xf numFmtId="0" fontId="26" fillId="0" borderId="0" xfId="1" applyNumberFormat="1" applyFont="1" applyFill="1" applyAlignment="1">
      <alignment horizontal="center"/>
    </xf>
    <xf numFmtId="44" fontId="26" fillId="0" borderId="0" xfId="1" applyFont="1"/>
    <xf numFmtId="44" fontId="26" fillId="0" borderId="0" xfId="0" applyNumberFormat="1" applyFont="1"/>
    <xf numFmtId="0" fontId="27" fillId="0" borderId="0" xfId="0" applyFont="1" applyAlignment="1">
      <alignment horizontal="left"/>
    </xf>
    <xf numFmtId="44" fontId="26" fillId="13" borderId="0" xfId="1" applyFont="1" applyFill="1"/>
    <xf numFmtId="0" fontId="14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4" fillId="0" borderId="0" xfId="7" applyFont="1" applyAlignment="1">
      <alignment horizontal="center"/>
    </xf>
    <xf numFmtId="0" fontId="13" fillId="0" borderId="0" xfId="7"/>
    <xf numFmtId="0" fontId="15" fillId="0" borderId="0" xfId="7" applyFont="1" applyAlignment="1">
      <alignment horizontal="center"/>
    </xf>
    <xf numFmtId="0" fontId="18" fillId="0" borderId="0" xfId="7" applyFont="1" applyAlignment="1">
      <alignment horizontal="center"/>
    </xf>
  </cellXfs>
  <cellStyles count="8">
    <cellStyle name="Comma" xfId="4" builtinId="3"/>
    <cellStyle name="Currency" xfId="1" builtinId="4"/>
    <cellStyle name="Currency 2" xfId="6" xr:uid="{7E9760D8-AC30-4AC4-ABB4-856ABF2A3CA1}"/>
    <cellStyle name="Normal" xfId="0" builtinId="0"/>
    <cellStyle name="Normal 2" xfId="3" xr:uid="{453EE20A-949A-489F-86F5-3556A0314EF7}"/>
    <cellStyle name="Normal 3" xfId="5" xr:uid="{37CFBCF1-6C8B-4651-AB6B-8F4EE23E8CD9}"/>
    <cellStyle name="Normal 4" xfId="7" xr:uid="{97D24F76-2258-4597-8B4F-1627D6080FF2}"/>
    <cellStyle name="Percent" xfId="2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c5e9d27c9e9edb6/Documents/Paragon/Clients/CSCA/FY%202021-22%20%20Financial%20Reports/FY22%20Forecast%200619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urabacuscom.sharepoint.com/sites/ColoradoSpringsCharterAcademy/Shared%20Documents/Budgets/25-26/CSCA%20Trial%20Balance%20for%20Proposed%20Budget%20ss%203.25.25.xlsx" TargetMode="External"/><Relationship Id="rId1" Type="http://schemas.openxmlformats.org/officeDocument/2006/relationships/externalLinkPath" Target="CSCA%20Trial%20Balance%20for%20Proposed%20Budget%20ss%203.2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Profit and Loss by Month"/>
      <sheetName val="Bond Intercept Schedule"/>
    </sheetNames>
    <sheetDataSet>
      <sheetData sheetId="0"/>
      <sheetData sheetId="1">
        <row r="8">
          <cell r="Q8">
            <v>150</v>
          </cell>
        </row>
        <row r="9">
          <cell r="Q9">
            <v>1780</v>
          </cell>
        </row>
        <row r="10">
          <cell r="Q10">
            <v>7000</v>
          </cell>
        </row>
        <row r="13">
          <cell r="Q13">
            <v>27645.360000000001</v>
          </cell>
        </row>
        <row r="14">
          <cell r="Q14">
            <v>550</v>
          </cell>
        </row>
        <row r="15">
          <cell r="Q15">
            <v>1470.4</v>
          </cell>
        </row>
        <row r="16">
          <cell r="Q16">
            <v>25</v>
          </cell>
        </row>
        <row r="17">
          <cell r="Q17">
            <v>2085</v>
          </cell>
        </row>
        <row r="18">
          <cell r="Q18">
            <v>75</v>
          </cell>
        </row>
        <row r="19">
          <cell r="Q19">
            <v>1206</v>
          </cell>
        </row>
        <row r="20">
          <cell r="Q20">
            <v>0</v>
          </cell>
        </row>
        <row r="21">
          <cell r="Q21">
            <v>3450</v>
          </cell>
        </row>
        <row r="22">
          <cell r="Q22">
            <v>1022</v>
          </cell>
        </row>
        <row r="23">
          <cell r="Q23">
            <v>1978</v>
          </cell>
        </row>
        <row r="24">
          <cell r="Q24">
            <v>-7000</v>
          </cell>
        </row>
        <row r="25">
          <cell r="Q25">
            <v>240</v>
          </cell>
        </row>
        <row r="26">
          <cell r="Q26">
            <v>190</v>
          </cell>
        </row>
        <row r="27">
          <cell r="Q27">
            <v>1152.72</v>
          </cell>
        </row>
        <row r="28">
          <cell r="Q28">
            <v>6826.5</v>
          </cell>
        </row>
        <row r="29">
          <cell r="Q29">
            <v>-25</v>
          </cell>
        </row>
        <row r="30">
          <cell r="Q30">
            <v>602.92000000000007</v>
          </cell>
        </row>
        <row r="31">
          <cell r="Q31">
            <v>37093.07</v>
          </cell>
        </row>
        <row r="32">
          <cell r="Q32">
            <v>10.98</v>
          </cell>
        </row>
        <row r="35">
          <cell r="Q35">
            <v>12586.86</v>
          </cell>
        </row>
        <row r="36">
          <cell r="Q36">
            <v>183514.35</v>
          </cell>
        </row>
        <row r="37">
          <cell r="Q37">
            <v>46.289999999999992</v>
          </cell>
        </row>
        <row r="38">
          <cell r="Q38">
            <v>2535.5</v>
          </cell>
        </row>
        <row r="46">
          <cell r="Q46">
            <v>46412.399999999994</v>
          </cell>
        </row>
        <row r="53">
          <cell r="Q53">
            <v>3823102.07</v>
          </cell>
        </row>
        <row r="62">
          <cell r="Q62">
            <v>151228.78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Balance"/>
      <sheetName val="Chart of Accounts Crosswalk"/>
    </sheetNames>
    <sheetDataSet>
      <sheetData sheetId="0"/>
      <sheetData sheetId="1">
        <row r="7">
          <cell r="N7" t="str">
            <v>7421000 Accounts Payable</v>
          </cell>
          <cell r="O7" t="str">
            <v>11.951.00.0000.7421.000.0000</v>
          </cell>
        </row>
        <row r="8">
          <cell r="N8" t="str">
            <v>7461000 Accrued Salaries and Benefits</v>
          </cell>
          <cell r="O8" t="str">
            <v>11.951.00.0000.7461.000.0000</v>
          </cell>
        </row>
        <row r="9">
          <cell r="N9" t="str">
            <v>7471000 Payroll Liabilities</v>
          </cell>
          <cell r="O9" t="str">
            <v>11.951.00.0000.7471.000.0000</v>
          </cell>
        </row>
        <row r="10">
          <cell r="N10" t="str">
            <v>7481000 Unearned or Deferred Revenue</v>
          </cell>
          <cell r="O10" t="str">
            <v>11.951.00.0000.7481.000.0000</v>
          </cell>
        </row>
        <row r="11">
          <cell r="O11" t="str">
            <v>......</v>
          </cell>
        </row>
        <row r="12">
          <cell r="O12" t="str">
            <v>......</v>
          </cell>
        </row>
        <row r="13">
          <cell r="O13" t="str">
            <v>11.951.00.0000.8100.000.0000</v>
          </cell>
        </row>
        <row r="14">
          <cell r="N14" t="str">
            <v>8100000 Cash and Investments</v>
          </cell>
          <cell r="O14" t="str">
            <v>11.951.00.0000.8101.000.0000</v>
          </cell>
        </row>
        <row r="15">
          <cell r="N15" t="str">
            <v>8101100 Cash and Investments:Cash in Colotrust</v>
          </cell>
          <cell r="O15" t="str">
            <v>11.951.01.0000.8101.000.0000</v>
          </cell>
        </row>
        <row r="16">
          <cell r="N16" t="str">
            <v>8101105 Cash and Investments:Cash in Colotrust:Free &amp; Reduced Savings</v>
          </cell>
          <cell r="O16" t="str">
            <v>11.951.05.0000.8101.000.0000</v>
          </cell>
        </row>
        <row r="17">
          <cell r="N17" t="str">
            <v>8101101 Cash and Investments:Cash in Colotrust:General Fund</v>
          </cell>
          <cell r="O17" t="str">
            <v>11.951.11.0000.8101.000.0000</v>
          </cell>
        </row>
        <row r="18">
          <cell r="N18" t="str">
            <v>8101102 Cash and Investments:Cash in Colotrust:Reserve for TABOR</v>
          </cell>
          <cell r="O18" t="str">
            <v>11.951.02.0000.8101.000.0000</v>
          </cell>
        </row>
        <row r="19">
          <cell r="N19" t="str">
            <v>8101000 Cash and Investments:Cash in Vectra Bank</v>
          </cell>
          <cell r="O19" t="str">
            <v>11.951.10.0000.8101.000.0000</v>
          </cell>
        </row>
        <row r="20">
          <cell r="N20" t="str">
            <v>8101120 Cash and Investments:Cash in Vectra Bank:Reserve for SPED</v>
          </cell>
          <cell r="O20" t="str">
            <v>11.951.12.0000.8101.000.0000</v>
          </cell>
        </row>
        <row r="21">
          <cell r="N21" t="str">
            <v>8103000 Cash and Investments:Petty Cash</v>
          </cell>
          <cell r="O21" t="str">
            <v>11.951.00.0000.8103.000.0000</v>
          </cell>
        </row>
        <row r="22">
          <cell r="N22" t="str">
            <v>8103700 Cash and Investments:Petty Cash:Petty Cash-Food Services</v>
          </cell>
          <cell r="O22" t="str">
            <v>11.951.31.0000.8103.000.0000</v>
          </cell>
        </row>
        <row r="23">
          <cell r="N23" t="str">
            <v>8103500 Cash and Investments:Petty Cash:Petty Cash-Office</v>
          </cell>
          <cell r="O23" t="str">
            <v>11.951.25.0000.8103.000.0000</v>
          </cell>
        </row>
        <row r="24">
          <cell r="N24" t="str">
            <v>8103600 Cash and Investments:Petty Cash:Petty Cash-School Store</v>
          </cell>
          <cell r="O24" t="str">
            <v>11.951.23.0000.8103.000.0000</v>
          </cell>
        </row>
        <row r="25">
          <cell r="N25" t="str">
            <v>8105000 Restricted Cash and Investments</v>
          </cell>
          <cell r="O25" t="str">
            <v>11.951.00.0000.8105.000.0000</v>
          </cell>
        </row>
        <row r="26">
          <cell r="N26" t="str">
            <v xml:space="preserve"> </v>
          </cell>
          <cell r="O26" t="str">
            <v>......</v>
          </cell>
        </row>
        <row r="27">
          <cell r="O27" t="str">
            <v>11.951.00.0000.8142.000.0000</v>
          </cell>
        </row>
        <row r="28">
          <cell r="N28" t="str">
            <v>8144027 RECEIVABLE:IDEA Receivable</v>
          </cell>
          <cell r="O28" t="str">
            <v>11.951.00.0000.8142.000.4027</v>
          </cell>
        </row>
        <row r="29">
          <cell r="N29" t="str">
            <v xml:space="preserve"> </v>
          </cell>
          <cell r="O29" t="str">
            <v>......</v>
          </cell>
        </row>
        <row r="30">
          <cell r="N30" t="str">
            <v xml:space="preserve"> </v>
          </cell>
          <cell r="O30" t="str">
            <v>......</v>
          </cell>
        </row>
        <row r="31">
          <cell r="N31" t="str">
            <v xml:space="preserve"> </v>
          </cell>
          <cell r="O31" t="str">
            <v>......</v>
          </cell>
        </row>
        <row r="32">
          <cell r="N32" t="str">
            <v xml:space="preserve"> </v>
          </cell>
          <cell r="O32" t="str">
            <v>......</v>
          </cell>
        </row>
        <row r="33">
          <cell r="N33" t="str">
            <v xml:space="preserve"> </v>
          </cell>
          <cell r="O33" t="str">
            <v>......</v>
          </cell>
        </row>
        <row r="34">
          <cell r="O34" t="str">
            <v>11.951.00.0000.1000.000.0000</v>
          </cell>
        </row>
        <row r="35">
          <cell r="N35" t="str">
            <v>9010850 Local Sources:After School Care</v>
          </cell>
          <cell r="O35" t="str">
            <v>11.951.00.0000.1820.000.0000</v>
          </cell>
        </row>
        <row r="36">
          <cell r="N36" t="str">
            <v>9011300 Local Sources:Art Club Fees</v>
          </cell>
          <cell r="O36" t="str">
            <v>11.951.00.0000.1740.000.0000</v>
          </cell>
        </row>
        <row r="37">
          <cell r="N37" t="str">
            <v>9010600 Local Sources:Athletic Fees</v>
          </cell>
          <cell r="O37" t="str">
            <v>11.951.00.0000.1740.000.0000</v>
          </cell>
        </row>
        <row r="38">
          <cell r="N38" t="str">
            <v>9011700 Local Sources:Band Income</v>
          </cell>
          <cell r="O38" t="str">
            <v>11.951.00.0000.1790.000.0000</v>
          </cell>
        </row>
        <row r="39">
          <cell r="N39" t="str">
            <v>9010655 Local Sources:Basketball Club Fees</v>
          </cell>
          <cell r="O39" t="str">
            <v>11.951.00.0000.1740.000.0000</v>
          </cell>
        </row>
        <row r="40">
          <cell r="N40" t="str">
            <v>9010510 Local Sources:Book Club Fees</v>
          </cell>
          <cell r="O40" t="str">
            <v>11.951.00.0000.1740.000.0000</v>
          </cell>
        </row>
        <row r="41">
          <cell r="N41" t="str">
            <v>9011150 Local Sources:Book Fairs</v>
          </cell>
          <cell r="O41" t="str">
            <v>11.951.00.0000.1720.000.0000</v>
          </cell>
        </row>
        <row r="42">
          <cell r="N42" t="str">
            <v>9011200 Local Sources:Capital Campaign Contributions</v>
          </cell>
          <cell r="O42" t="str">
            <v>11.951.00.0000.1920.000.0000</v>
          </cell>
        </row>
        <row r="43">
          <cell r="N43" t="str">
            <v>9010500 Local Sources:Chess Club Fees</v>
          </cell>
          <cell r="O43" t="str">
            <v>11.951.00.0000.1740.000.0000</v>
          </cell>
        </row>
        <row r="44">
          <cell r="N44" t="str">
            <v>9010800 Local Sources:Child Watch</v>
          </cell>
          <cell r="O44" t="str">
            <v>11.951.00.0000.1840.000.0000</v>
          </cell>
        </row>
        <row r="45">
          <cell r="N45" t="str">
            <v>9011800 Local Sources:Choir Income</v>
          </cell>
          <cell r="O45" t="str">
            <v>11.951.00.0000.1790.000.0000</v>
          </cell>
        </row>
        <row r="46">
          <cell r="N46" t="str">
            <v>9010200 Local Sources:CSCA PTO</v>
          </cell>
          <cell r="O46" t="str">
            <v>11.951.00.0000.1790.000.0000</v>
          </cell>
        </row>
        <row r="47">
          <cell r="N47" t="str">
            <v>9010210 Local Sources:CSCA PTO - Playground</v>
          </cell>
          <cell r="O47" t="str">
            <v>11.951.00.0000.1790.000.0000</v>
          </cell>
        </row>
        <row r="48">
          <cell r="N48" t="str">
            <v>9019500 Local Sources:Discounts/Refunds Given</v>
          </cell>
          <cell r="O48" t="str">
            <v>11.951.00.0000.1990.000.0000</v>
          </cell>
        </row>
        <row r="49">
          <cell r="N49" t="str">
            <v>9012000 Local Sources:Donations</v>
          </cell>
          <cell r="O49" t="str">
            <v>11.951.00.0000.1920.000.0000</v>
          </cell>
        </row>
        <row r="50">
          <cell r="N50" t="str">
            <v>9010750 Local Sources:EPIC</v>
          </cell>
          <cell r="O50" t="str">
            <v>11.951.00.0000.1750.000.0000</v>
          </cell>
        </row>
        <row r="51">
          <cell r="N51" t="str">
            <v>9011000 Local Sources:Field Trip Fees</v>
          </cell>
          <cell r="O51" t="str">
            <v>11.951.00.0000.1740.000.0000</v>
          </cell>
        </row>
        <row r="52">
          <cell r="N52" t="str">
            <v>9010300 Local Sources:Fund Raising</v>
          </cell>
          <cell r="O52" t="str">
            <v>11.951.00.0000.1750.000.0000</v>
          </cell>
        </row>
        <row r="53">
          <cell r="N53" t="str">
            <v>9011600 Local Sources:Instructional Supply Fee</v>
          </cell>
          <cell r="O53" t="str">
            <v>11.951.00.0000.1940.000.0000</v>
          </cell>
        </row>
        <row r="54">
          <cell r="N54" t="str">
            <v>9010100 Local Sources:K Tuition</v>
          </cell>
          <cell r="O54" t="str">
            <v>11.951.00.0000.1310.000.0000</v>
          </cell>
        </row>
        <row r="55">
          <cell r="N55" t="str">
            <v>9011400 Local Sources:Library Funds</v>
          </cell>
          <cell r="O55" t="str">
            <v>11.951.00.0000.1990.000.0000</v>
          </cell>
        </row>
        <row r="56">
          <cell r="N56" t="str">
            <v>9010900 Local Sources:MTP Fees</v>
          </cell>
          <cell r="O56" t="str">
            <v>11.951.00.0000.1740.000.0000</v>
          </cell>
        </row>
        <row r="57">
          <cell r="N57" t="str">
            <v>9011500 Local Sources:Music Equipment and Supplies Income</v>
          </cell>
          <cell r="O57" t="str">
            <v>11.951.00.0000.1790.000.0000</v>
          </cell>
        </row>
        <row r="58">
          <cell r="N58" t="str">
            <v>9011510 Local Sources:Music Program Fees</v>
          </cell>
          <cell r="O58" t="str">
            <v>11.951.00.0000.1740.000.0000</v>
          </cell>
        </row>
        <row r="59">
          <cell r="N59" t="str">
            <v>9010620 Local Sources:Newspaper Club</v>
          </cell>
          <cell r="O59" t="str">
            <v>11.951.00.0000.1790.000.0000</v>
          </cell>
        </row>
        <row r="60">
          <cell r="N60" t="str">
            <v>9019000 Local Sources:Reimbursed Expenses</v>
          </cell>
          <cell r="O60" t="str">
            <v>11.951.00.0000.1990.000.0000</v>
          </cell>
        </row>
        <row r="61">
          <cell r="N61" t="str">
            <v>9010400 Local Sources:Rental Income</v>
          </cell>
          <cell r="O61" t="str">
            <v>11.951.00.0000.1910.000.0000</v>
          </cell>
        </row>
        <row r="62">
          <cell r="N62" t="str">
            <v>9010412 Local Sources:Rental Income:MacLaren Rental</v>
          </cell>
          <cell r="O62" t="str">
            <v>11.951.00.0000.1911.000.0000</v>
          </cell>
        </row>
        <row r="63">
          <cell r="N63" t="str">
            <v>9040413 Local Sources:Rental Income:Turning Point</v>
          </cell>
          <cell r="O63" t="str">
            <v>11.951.00.0000.1912.000.0000</v>
          </cell>
        </row>
        <row r="64">
          <cell r="N64" t="str">
            <v>9010420 Local Sources:Rental Income:Water Bill</v>
          </cell>
          <cell r="O64" t="str">
            <v>11.951.00.0000.1910.000.0000</v>
          </cell>
        </row>
        <row r="65">
          <cell r="N65" t="str">
            <v>9010640 Local Sources:Soccer Club Fees</v>
          </cell>
          <cell r="O65" t="str">
            <v>11.951.00.0000.1740.000.0000</v>
          </cell>
        </row>
        <row r="66">
          <cell r="N66" t="str">
            <v>9010700 Local Sources:Student Council Fees</v>
          </cell>
          <cell r="O66" t="str">
            <v>11.951.00.0000.1740.000.0000</v>
          </cell>
        </row>
        <row r="67">
          <cell r="N67" t="str">
            <v>9010610 Local Sources:Technology Fees</v>
          </cell>
          <cell r="O67" t="str">
            <v>11.951.00.0000.1740.000.0000</v>
          </cell>
        </row>
        <row r="68">
          <cell r="N68" t="str">
            <v>9019900 Local Sources:Uncategorized Income</v>
          </cell>
          <cell r="O68" t="str">
            <v>11.951.00.0000.1900.000.0000</v>
          </cell>
        </row>
        <row r="69">
          <cell r="N69" t="str">
            <v>9010650 Local Sources:Volleyball Club Fees</v>
          </cell>
          <cell r="O69" t="str">
            <v>11.951.00.0000.1740.000.0000</v>
          </cell>
        </row>
        <row r="70">
          <cell r="N70" t="str">
            <v>9011100 Local Sources:Yearbook Sales</v>
          </cell>
          <cell r="O70" t="str">
            <v>11.951.00.0000.1790.000.0000</v>
          </cell>
        </row>
        <row r="71">
          <cell r="N71" t="str">
            <v xml:space="preserve"> </v>
          </cell>
          <cell r="O71" t="str">
            <v>......</v>
          </cell>
        </row>
        <row r="72">
          <cell r="O72" t="str">
            <v>11.951.00.0000.2000.000.0000</v>
          </cell>
        </row>
        <row r="73">
          <cell r="N73" t="str">
            <v>9020600 Intermediate Sources:COBRA Health Insurance Reimb</v>
          </cell>
          <cell r="O73" t="str">
            <v>11.951.00.0000..000.0000</v>
          </cell>
        </row>
        <row r="74">
          <cell r="N74" t="str">
            <v>9022000 Intermediate Sources:Debt Discount Adjustment</v>
          </cell>
          <cell r="O74" t="str">
            <v>11.951.00.0000..000.0000</v>
          </cell>
        </row>
        <row r="75">
          <cell r="N75" t="str">
            <v>9020700 Intermediate Sources:Interest Income</v>
          </cell>
          <cell r="O75" t="str">
            <v>11.951.00.0000.1510.000.0000</v>
          </cell>
        </row>
        <row r="76">
          <cell r="N76" t="str">
            <v>9020800 Intermediate Sources:Investment Income</v>
          </cell>
          <cell r="O76" t="str">
            <v>11.951.00.0000.1520.000.0000</v>
          </cell>
        </row>
        <row r="77">
          <cell r="N77" t="str">
            <v>9023951 Intermediate Sources:Mill Levy Funds</v>
          </cell>
          <cell r="O77" t="str">
            <v>11.951.00.0000.1150.000.3951</v>
          </cell>
        </row>
        <row r="78">
          <cell r="N78" t="str">
            <v>9020900 Intermediate Sources:Miscellaneous Income</v>
          </cell>
          <cell r="O78" t="str">
            <v>11.951.00.0000.1590.000.0000</v>
          </cell>
        </row>
        <row r="79">
          <cell r="N79" t="str">
            <v>9021000 Intermediate Sources:Other Income</v>
          </cell>
          <cell r="O79" t="str">
            <v>11.951.00.0000.1590.000.0000</v>
          </cell>
        </row>
        <row r="80">
          <cell r="N80" t="str">
            <v xml:space="preserve"> </v>
          </cell>
          <cell r="O80" t="str">
            <v>......</v>
          </cell>
        </row>
        <row r="81">
          <cell r="O81" t="str">
            <v>11.951.00.0000.3000.000.0000</v>
          </cell>
        </row>
        <row r="82">
          <cell r="N82" t="str">
            <v>9033110 State Sources:PPR Funding</v>
          </cell>
          <cell r="O82" t="str">
            <v>11.951.00.0000.3010.000.3110</v>
          </cell>
        </row>
        <row r="83">
          <cell r="N83" t="str">
            <v>9033113 State Sources:Capital Construction</v>
          </cell>
          <cell r="O83" t="str">
            <v>11.951.00.0000.3010.000.3113</v>
          </cell>
        </row>
        <row r="84">
          <cell r="N84" t="str">
            <v>9033115 State Sources:PPR Funding:At Risk Adjustment</v>
          </cell>
          <cell r="O84" t="str">
            <v>11.951.00.0000.3010.000.3115</v>
          </cell>
        </row>
        <row r="85">
          <cell r="N85" t="str">
            <v>9033130 State Sources:State Grants:ECEA Funding</v>
          </cell>
          <cell r="O85" t="str">
            <v>11.951.00.0000.3010.000.3130</v>
          </cell>
        </row>
        <row r="86">
          <cell r="N86" t="str">
            <v>9033139 State Sources:State Grants:ELPA Professional Development</v>
          </cell>
          <cell r="O86" t="str">
            <v>11.951.00.0000.3010.000.3139</v>
          </cell>
        </row>
        <row r="87">
          <cell r="N87" t="str">
            <v>9033140 State Sources:State Grants:ELPA Funding</v>
          </cell>
          <cell r="O87" t="str">
            <v>11.951.00.0000.3010.000.3140</v>
          </cell>
        </row>
        <row r="88">
          <cell r="N88" t="str">
            <v>9033150 State Sources:State Grants:Gifted &amp; Talented Funding</v>
          </cell>
          <cell r="O88" t="str">
            <v>11.951.00.0000.3010.000.3150</v>
          </cell>
        </row>
        <row r="89">
          <cell r="N89" t="str">
            <v>9033207 State Sources:State Grants:Library Grant</v>
          </cell>
          <cell r="O89" t="str">
            <v>11.951.00.0000.3010.000.3207</v>
          </cell>
        </row>
        <row r="90">
          <cell r="N90" t="str">
            <v>9033228 State Sources:State Grants:Gifted &amp; Talented Universal Funding</v>
          </cell>
          <cell r="O90" t="str">
            <v>11.951.00.0000.3010.000.3228</v>
          </cell>
        </row>
        <row r="91">
          <cell r="N91" t="str">
            <v>9033235 State Sources:State Grants:AAR</v>
          </cell>
          <cell r="O91" t="str">
            <v>11.951.00.0000.3010.000.3235</v>
          </cell>
        </row>
        <row r="92">
          <cell r="N92" t="str">
            <v>9033251 State Sources:State Grants:State Counselor Grant</v>
          </cell>
          <cell r="O92" t="str">
            <v>11.951.00.0000.3010.000.3251</v>
          </cell>
        </row>
        <row r="93">
          <cell r="N93" t="str">
            <v>9033259 State Sources:State Grants:READ Act</v>
          </cell>
          <cell r="O93" t="str">
            <v>11.951.00.0000.3010.000.3259</v>
          </cell>
        </row>
        <row r="94">
          <cell r="N94" t="str">
            <v>9033898 State Sources:On Behalf payments to PERA</v>
          </cell>
          <cell r="O94" t="str">
            <v>11.951.00.0000.3010.000.3898</v>
          </cell>
        </row>
        <row r="95">
          <cell r="N95" t="str">
            <v xml:space="preserve"> </v>
          </cell>
          <cell r="O95" t="str">
            <v>......</v>
          </cell>
        </row>
        <row r="96">
          <cell r="O96" t="str">
            <v>11.951.00.0000.4000.000.0000</v>
          </cell>
        </row>
        <row r="97">
          <cell r="N97" t="str">
            <v>9044010 Federal Sources:Federal Grants:Title 1A</v>
          </cell>
          <cell r="O97" t="str">
            <v>11.951.00.0000.4010.000.4010</v>
          </cell>
        </row>
        <row r="98">
          <cell r="N98" t="str">
            <v>9044027 Federal Sources:Federal Grants:IDEA Part B</v>
          </cell>
          <cell r="O98" t="str">
            <v>11.951.00.0000.4010.000.4027</v>
          </cell>
        </row>
        <row r="99">
          <cell r="N99" t="str">
            <v>9044173 Federal Sources:Federal Grants:IDEA Preschool</v>
          </cell>
          <cell r="O99" t="str">
            <v>11.951.00.0000.4010.000.4173</v>
          </cell>
        </row>
        <row r="100">
          <cell r="N100" t="str">
            <v>9044365 Federal Sources:Federal Grants:Title III</v>
          </cell>
          <cell r="O100" t="str">
            <v>11.951.00.0000.4010.000.4365</v>
          </cell>
        </row>
        <row r="101">
          <cell r="N101" t="str">
            <v>9044367 Federal Sources:Federal Grants:Title IIA</v>
          </cell>
          <cell r="O101" t="str">
            <v>11.951.00.0000.4010.000.4367</v>
          </cell>
        </row>
        <row r="102">
          <cell r="N102" t="str">
            <v>9044420 Federal Sources:Federal Grants:ESSER II</v>
          </cell>
          <cell r="O102" t="str">
            <v>11.951.00.0000.4010.000.4420</v>
          </cell>
        </row>
        <row r="103">
          <cell r="N103" t="str">
            <v>9044414 Federal Sources:Federal Grants:ESSER III Funding</v>
          </cell>
          <cell r="O103" t="str">
            <v>11.951.00.0000.4010.000.4414</v>
          </cell>
        </row>
        <row r="104">
          <cell r="N104" t="str">
            <v>9044436 Federal Sources:Federal Grants:Mentor Program Grant</v>
          </cell>
          <cell r="O104" t="str">
            <v>11.951.00.0000.4010.000.4436</v>
          </cell>
        </row>
        <row r="105">
          <cell r="N105" t="str">
            <v>9045169 Federal Sources:Federal Grants:McKinney-Vento Homeless</v>
          </cell>
          <cell r="O105" t="str">
            <v>11.951.00.0000.4010.000.5169</v>
          </cell>
        </row>
        <row r="106">
          <cell r="N106" t="str">
            <v>9049202 Federal Sources:Federal Grants:Title 1A-H</v>
          </cell>
          <cell r="O106" t="str">
            <v>11.951.00.0000.4010.000.9202</v>
          </cell>
        </row>
        <row r="107">
          <cell r="N107" t="str">
            <v>9049414 Federal Sources:Federal Grants:ESSER III Learning Loss</v>
          </cell>
          <cell r="O107" t="str">
            <v>11.951.00.0000.4010.000.9414</v>
          </cell>
        </row>
        <row r="108">
          <cell r="N108" t="str">
            <v xml:space="preserve"> </v>
          </cell>
          <cell r="O108" t="str">
            <v>......</v>
          </cell>
        </row>
        <row r="109">
          <cell r="N109" t="str">
            <v xml:space="preserve"> </v>
          </cell>
          <cell r="O109" t="str">
            <v>......</v>
          </cell>
        </row>
        <row r="110">
          <cell r="N110" t="str">
            <v xml:space="preserve"> </v>
          </cell>
          <cell r="O110" t="str">
            <v>......</v>
          </cell>
        </row>
        <row r="111">
          <cell r="N111" t="str">
            <v xml:space="preserve"> </v>
          </cell>
          <cell r="O111" t="str">
            <v>......</v>
          </cell>
        </row>
        <row r="112">
          <cell r="N112" t="str">
            <v xml:space="preserve"> </v>
          </cell>
          <cell r="O112" t="str">
            <v>......</v>
          </cell>
        </row>
        <row r="113">
          <cell r="N113" t="str">
            <v xml:space="preserve"> </v>
          </cell>
          <cell r="O113" t="str">
            <v>......</v>
          </cell>
        </row>
        <row r="114">
          <cell r="N114" t="str">
            <v xml:space="preserve"> </v>
          </cell>
          <cell r="O114" t="str">
            <v>......</v>
          </cell>
        </row>
        <row r="115">
          <cell r="O115" t="str">
            <v>11.951.00.0010.0110.200.0000</v>
          </cell>
        </row>
        <row r="116">
          <cell r="N116" t="str">
            <v xml:space="preserve"> </v>
          </cell>
          <cell r="O116" t="str">
            <v>......</v>
          </cell>
        </row>
        <row r="117">
          <cell r="N117" t="str">
            <v>3130100 INSTRUCTION:Salaries:ECEA - Salaries</v>
          </cell>
          <cell r="O117" t="str">
            <v>11.951.12.1700.0110.200.3130</v>
          </cell>
        </row>
        <row r="118">
          <cell r="N118" t="str">
            <v>3140100 INSTRUCTION:Salaries:ELPA - Salaries</v>
          </cell>
          <cell r="O118" t="str">
            <v>11.951.00.0010.0110.200.3140</v>
          </cell>
        </row>
        <row r="119">
          <cell r="N119" t="str">
            <v>3150100 INSTRUCTION:Salaries:Gifted and Talented - Salaries</v>
          </cell>
          <cell r="O119" t="str">
            <v>11.951.00.0010.0110.200.3150</v>
          </cell>
        </row>
        <row r="120">
          <cell r="N120" t="str">
            <v>3259100 INSTRUCTION:Salaries:READ ACT</v>
          </cell>
          <cell r="O120" t="str">
            <v>11.951.00.0010.0110.200.3259</v>
          </cell>
        </row>
        <row r="121">
          <cell r="N121" t="str">
            <v>4027100 INSTRUCTION:Salaries:IDEA - Salaries</v>
          </cell>
          <cell r="O121" t="str">
            <v>11.951.12.1700.0110.200.4027</v>
          </cell>
        </row>
        <row r="122">
          <cell r="N122" t="str">
            <v>4365100 INSTRUCTION:Salaries:Title IIIA - Salaries</v>
          </cell>
          <cell r="O122" t="str">
            <v>11.951.00.0010.0110.200.4365</v>
          </cell>
        </row>
        <row r="123">
          <cell r="N123" t="str">
            <v>4367100 INSTRUCTION:Salaries:Title IIA - Salaries</v>
          </cell>
          <cell r="O123" t="str">
            <v>11.951.00.0010.0110.200.4367</v>
          </cell>
        </row>
        <row r="124">
          <cell r="N124" t="str">
            <v>4414100 INSTRUCTION:Salaries:ESSER III Fund - Salaries</v>
          </cell>
          <cell r="O124" t="str">
            <v>11.951.00.0010.0110.200.4414</v>
          </cell>
        </row>
        <row r="125">
          <cell r="N125" t="str">
            <v>4436100 INSTRUCTION:Salaries:MPG-Salary</v>
          </cell>
          <cell r="O125" t="str">
            <v>11.951.00.0010.0110.200.4436</v>
          </cell>
        </row>
        <row r="126">
          <cell r="N126" t="str">
            <v>9414100 INSTRUCTION:Salaries:ESSER III LL - Salaries</v>
          </cell>
          <cell r="O126" t="str">
            <v>11.951.00.0010.0110.200.9414</v>
          </cell>
        </row>
        <row r="127">
          <cell r="O127" t="str">
            <v>......</v>
          </cell>
        </row>
        <row r="128">
          <cell r="O128" t="str">
            <v>11.951.00.0010.0200.200.0000</v>
          </cell>
        </row>
        <row r="129">
          <cell r="O129" t="str">
            <v>......</v>
          </cell>
        </row>
        <row r="130">
          <cell r="N130" t="str">
            <v>3130200 INSTRUCTION:Benefits:ECEA - Benefits</v>
          </cell>
          <cell r="O130" t="str">
            <v>11.951.00.0010.0200.200.3130</v>
          </cell>
        </row>
        <row r="131">
          <cell r="N131" t="str">
            <v>3259200 INSTRUCTION:Benefits:READ - Benefits</v>
          </cell>
          <cell r="O131" t="str">
            <v>11.951.00.0010.0200.200.3259</v>
          </cell>
        </row>
        <row r="132">
          <cell r="N132" t="str">
            <v>4027200 INSTRUCTION:Benefits:IDEA - Benefits</v>
          </cell>
          <cell r="O132" t="str">
            <v>11.951.00.0010.0200.200.4027</v>
          </cell>
        </row>
        <row r="133">
          <cell r="N133" t="str">
            <v>4414200 INSTRUCTION:Benefits:ESSER III Fund - Benefits</v>
          </cell>
          <cell r="O133" t="str">
            <v>11.951.00.0010.0200.200.4414</v>
          </cell>
        </row>
        <row r="134">
          <cell r="N134" t="str">
            <v>4436200 INSTRUCTION:Benefits:MPG - Benefits</v>
          </cell>
          <cell r="O134" t="str">
            <v>11.951.00.0010.0200.200.4436</v>
          </cell>
        </row>
        <row r="135">
          <cell r="N135" t="str">
            <v>9414200 INSTRUCTION:Benefits:ESSER III LL - Benefits</v>
          </cell>
          <cell r="O135" t="str">
            <v>11.951.00.0010.0200.200.9414</v>
          </cell>
        </row>
        <row r="136">
          <cell r="O136" t="str">
            <v>......</v>
          </cell>
        </row>
        <row r="137">
          <cell r="O137" t="str">
            <v>......</v>
          </cell>
        </row>
        <row r="138">
          <cell r="O138" t="str">
            <v>11.951.00.0010.0300.200.0000</v>
          </cell>
        </row>
        <row r="139">
          <cell r="O139" t="str">
            <v>......</v>
          </cell>
        </row>
        <row r="140">
          <cell r="N140" t="str">
            <v>3130300 INSTRUCTION:Purchased Services:ECEA - Purchased Services</v>
          </cell>
          <cell r="O140" t="str">
            <v>11.951.00.0010.0300.200.3130</v>
          </cell>
        </row>
        <row r="141">
          <cell r="N141" t="str">
            <v>3150300 INSTRUCTION:Purchased Services:Gifted and Talented - Purchased Services</v>
          </cell>
          <cell r="O141" t="str">
            <v>......</v>
          </cell>
        </row>
        <row r="142">
          <cell r="N142" t="str">
            <v>4027300 INSTRUCTION:Purchased Services:Contract IDEA</v>
          </cell>
          <cell r="O142" t="str">
            <v>11.951.00.0010.0300.200.4027</v>
          </cell>
        </row>
        <row r="143">
          <cell r="N143" t="str">
            <v>4414300 INSTRUCTION:Purchased Services:ESSER III</v>
          </cell>
          <cell r="O143" t="str">
            <v>......</v>
          </cell>
        </row>
        <row r="144">
          <cell r="O144" t="str">
            <v>......</v>
          </cell>
        </row>
        <row r="145">
          <cell r="O145" t="str">
            <v>......</v>
          </cell>
        </row>
        <row r="146">
          <cell r="O146" t="str">
            <v>11.951.00.0010.0600.000.0000</v>
          </cell>
        </row>
        <row r="147">
          <cell r="O147" t="str">
            <v>......</v>
          </cell>
        </row>
        <row r="148">
          <cell r="N148" t="str">
            <v>3130600 INSTRUCTION:Supplies and Materials:ECEA - Instructional Supplies</v>
          </cell>
          <cell r="O148" t="str">
            <v>11.951.00.0010.0600.000.3130</v>
          </cell>
        </row>
        <row r="149">
          <cell r="N149" t="str">
            <v>3140600 INSTRUCTION:Supplies and Materials:ELPA - Supplies</v>
          </cell>
          <cell r="O149" t="str">
            <v>11.951.00.0010.0600.000.3140</v>
          </cell>
        </row>
        <row r="150">
          <cell r="N150" t="str">
            <v>3150600 INSTRUCTION:Supplies and Materials:Gifted &amp; Talented - Supplies</v>
          </cell>
          <cell r="O150" t="str">
            <v>11.951.00.0010.0600.000.3150</v>
          </cell>
        </row>
        <row r="151">
          <cell r="N151" t="str">
            <v>3228600 INSTRUCTION:Supplies and Materials:Gifted &amp; Talented Universal - Supplies</v>
          </cell>
          <cell r="O151" t="str">
            <v>11.951.00.0010.0600.000.3228</v>
          </cell>
        </row>
        <row r="152">
          <cell r="N152" t="str">
            <v>4365600 INSTRUCTION:Supplies and Materials:Title IIIA - Supplies</v>
          </cell>
          <cell r="O152" t="str">
            <v>11.951.00.0010.0600.000.4356</v>
          </cell>
        </row>
        <row r="153">
          <cell r="N153" t="str">
            <v>4414600 INSTRUCTION:Supplies and Materials:ESSER III Fund - Supplies</v>
          </cell>
          <cell r="O153" t="str">
            <v>11.951.00.0010.0600.000.4414</v>
          </cell>
        </row>
        <row r="154">
          <cell r="N154" t="str">
            <v>9414600 INSTRUCTION:Supplies and Materials:ESSER III LL - Supplies</v>
          </cell>
          <cell r="O154" t="str">
            <v>11.951.00.0010.0600.000.9414</v>
          </cell>
        </row>
        <row r="155">
          <cell r="N155" t="str">
            <v xml:space="preserve"> </v>
          </cell>
          <cell r="O155" t="str">
            <v>......</v>
          </cell>
        </row>
        <row r="156">
          <cell r="N156" t="str">
            <v>1007000 INSTRUCTION:Capital Outlay</v>
          </cell>
          <cell r="O156" t="str">
            <v>11.951.00.0010.0600.000.9414</v>
          </cell>
        </row>
        <row r="157">
          <cell r="N157" t="str">
            <v xml:space="preserve"> </v>
          </cell>
          <cell r="O157" t="str">
            <v>......</v>
          </cell>
        </row>
        <row r="158">
          <cell r="N158" t="str">
            <v>1008000 INSTRUCTION:Other</v>
          </cell>
          <cell r="O158" t="str">
            <v>......</v>
          </cell>
        </row>
        <row r="159">
          <cell r="N159" t="str">
            <v xml:space="preserve"> </v>
          </cell>
          <cell r="O159" t="str">
            <v>......</v>
          </cell>
        </row>
        <row r="160">
          <cell r="N160" t="str">
            <v xml:space="preserve"> </v>
          </cell>
          <cell r="O160" t="str">
            <v>......</v>
          </cell>
        </row>
        <row r="161">
          <cell r="O161" t="str">
            <v>......</v>
          </cell>
        </row>
        <row r="162">
          <cell r="N162" t="str">
            <v>2101000 SUPPORTING SERVICES:Salaries</v>
          </cell>
          <cell r="O162" t="str">
            <v>......</v>
          </cell>
        </row>
        <row r="163">
          <cell r="N163" t="str">
            <v>9202100 SUPPORTING SERVICES:Salaries:Title IA Homeless</v>
          </cell>
          <cell r="O163" t="str">
            <v>11.951.00.2100.0110.000.9202</v>
          </cell>
        </row>
        <row r="164">
          <cell r="N164" t="str">
            <v xml:space="preserve"> </v>
          </cell>
          <cell r="O164" t="str">
            <v>......</v>
          </cell>
        </row>
        <row r="165">
          <cell r="N165" t="str">
            <v>2102000 SUPPORTING SERVICES:Benefits</v>
          </cell>
          <cell r="O165" t="str">
            <v>......</v>
          </cell>
        </row>
        <row r="166">
          <cell r="N166" t="str">
            <v>9202200 SUPPORTING SERVICES:Benefits:Title IA Homeless</v>
          </cell>
          <cell r="O166" t="str">
            <v>11.951.00.2100.0200.000.9202</v>
          </cell>
        </row>
        <row r="167">
          <cell r="N167" t="str">
            <v xml:space="preserve"> </v>
          </cell>
          <cell r="O167" t="str">
            <v>......</v>
          </cell>
        </row>
        <row r="168">
          <cell r="N168" t="str">
            <v>2103000 SUPPORTING SERVICES:Purchased Services</v>
          </cell>
          <cell r="O168" t="str">
            <v>......</v>
          </cell>
        </row>
        <row r="169">
          <cell r="N169" t="str">
            <v>4365300 SUPPORTING SERVICES:Purchased Services:Title IIIA</v>
          </cell>
          <cell r="O169" t="str">
            <v>11.951.00.2100.0300.000.4365</v>
          </cell>
        </row>
        <row r="170">
          <cell r="N170" t="str">
            <v>9202300 SUPPORTING SERVICES:Purchased Services:Title IA Homeless</v>
          </cell>
          <cell r="O170" t="str">
            <v>11.951.00.2100.0300.000.9202</v>
          </cell>
        </row>
        <row r="171">
          <cell r="N171" t="str">
            <v xml:space="preserve"> </v>
          </cell>
          <cell r="O171" t="str">
            <v>......</v>
          </cell>
        </row>
        <row r="172">
          <cell r="N172" t="str">
            <v>2106000 SUPPORTING SERVICES:Supplies and Materials</v>
          </cell>
          <cell r="O172" t="str">
            <v>......</v>
          </cell>
        </row>
        <row r="173">
          <cell r="N173" t="str">
            <v>2106001 SUPPORTING SERVICES:Supplies and Materials:Child Watch Supplies</v>
          </cell>
          <cell r="O173" t="str">
            <v>11.951.00.2100.0600.000.2106</v>
          </cell>
        </row>
        <row r="174">
          <cell r="N174" t="str">
            <v>9202600 SUPPORTING SERVICES:Supplies and Materials:Title IA Homeless</v>
          </cell>
          <cell r="O174" t="str">
            <v>11.951.00.2100.0600.000.9202</v>
          </cell>
        </row>
        <row r="175">
          <cell r="N175" t="str">
            <v xml:space="preserve"> </v>
          </cell>
          <cell r="O175" t="str">
            <v>......</v>
          </cell>
        </row>
        <row r="176">
          <cell r="N176" t="str">
            <v xml:space="preserve"> </v>
          </cell>
          <cell r="O176" t="str">
            <v>......</v>
          </cell>
        </row>
        <row r="177">
          <cell r="N177" t="str">
            <v xml:space="preserve"> </v>
          </cell>
          <cell r="O177" t="str">
            <v>......</v>
          </cell>
        </row>
        <row r="178">
          <cell r="N178" t="str">
            <v>2401000 SCHOOL ADMINISTRATION:Salaries</v>
          </cell>
          <cell r="O178" t="str">
            <v>11.951.00.2400.0110.000.0000</v>
          </cell>
        </row>
        <row r="179">
          <cell r="N179" t="str">
            <v xml:space="preserve"> </v>
          </cell>
          <cell r="O179" t="str">
            <v>......</v>
          </cell>
        </row>
        <row r="180">
          <cell r="N180" t="str">
            <v>2402000 SCHOOL ADMINISTRATION:Benefits</v>
          </cell>
          <cell r="O180" t="str">
            <v>11.951.00.2400.0200.000.0000</v>
          </cell>
        </row>
        <row r="181">
          <cell r="N181" t="str">
            <v xml:space="preserve"> </v>
          </cell>
          <cell r="O181" t="str">
            <v>......</v>
          </cell>
        </row>
        <row r="182">
          <cell r="N182" t="str">
            <v>2403000 SCHOOL ADMINISTRATION:Purchased Services</v>
          </cell>
          <cell r="O182" t="str">
            <v>11.951.00.2400.0300.000.0000</v>
          </cell>
        </row>
        <row r="183">
          <cell r="N183" t="str">
            <v>4367300 SCHOOL ADMINISTRATION:Purchased Services:Title IIA</v>
          </cell>
          <cell r="O183" t="str">
            <v>11.951.00.2400.0300.000.4367</v>
          </cell>
        </row>
        <row r="184">
          <cell r="N184" t="str">
            <v xml:space="preserve"> </v>
          </cell>
          <cell r="O184" t="str">
            <v>......</v>
          </cell>
        </row>
        <row r="185">
          <cell r="N185" t="str">
            <v>2408000 SCHOOL ADMINISTRATION:Other</v>
          </cell>
          <cell r="O185" t="str">
            <v>11.951.00.2400.0800.000.0000</v>
          </cell>
        </row>
        <row r="186">
          <cell r="N186" t="str">
            <v xml:space="preserve"> </v>
          </cell>
          <cell r="O186" t="str">
            <v>......</v>
          </cell>
        </row>
        <row r="187">
          <cell r="N187" t="str">
            <v xml:space="preserve"> </v>
          </cell>
          <cell r="O187" t="str">
            <v>......</v>
          </cell>
        </row>
        <row r="188">
          <cell r="N188" t="str">
            <v xml:space="preserve"> </v>
          </cell>
          <cell r="O188" t="str">
            <v>......</v>
          </cell>
        </row>
        <row r="189">
          <cell r="N189" t="str">
            <v xml:space="preserve"> </v>
          </cell>
          <cell r="O189" t="str">
            <v>......</v>
          </cell>
        </row>
        <row r="190">
          <cell r="N190" t="str">
            <v xml:space="preserve"> </v>
          </cell>
          <cell r="O190" t="str">
            <v>......</v>
          </cell>
        </row>
        <row r="191">
          <cell r="N191" t="str">
            <v xml:space="preserve"> </v>
          </cell>
          <cell r="O191" t="str">
            <v>......</v>
          </cell>
        </row>
        <row r="192">
          <cell r="N192" t="str">
            <v>2501000 BUSINESS SERVICES:Salaries</v>
          </cell>
          <cell r="O192" t="str">
            <v>11.951.00.2500.0110.000.0000</v>
          </cell>
        </row>
        <row r="193">
          <cell r="N193" t="str">
            <v xml:space="preserve"> </v>
          </cell>
          <cell r="O193" t="str">
            <v>......</v>
          </cell>
        </row>
        <row r="194">
          <cell r="N194" t="str">
            <v>2502000 BUSINESS SERVICES:Benefits</v>
          </cell>
          <cell r="O194" t="str">
            <v>11.951.00.2500.0200.000.0000</v>
          </cell>
        </row>
        <row r="195">
          <cell r="N195" t="str">
            <v xml:space="preserve"> </v>
          </cell>
          <cell r="O195" t="str">
            <v>......</v>
          </cell>
        </row>
        <row r="196">
          <cell r="N196" t="str">
            <v>2503000 BUSINESS SERVICES:Purchased Services</v>
          </cell>
          <cell r="O196" t="str">
            <v>11.951.00.2500.0300.000.0000</v>
          </cell>
        </row>
        <row r="197">
          <cell r="N197" t="str">
            <v xml:space="preserve"> </v>
          </cell>
          <cell r="O197" t="str">
            <v>......</v>
          </cell>
        </row>
        <row r="198">
          <cell r="N198" t="str">
            <v>2508000 BUSINESS SERVICES:Other</v>
          </cell>
          <cell r="O198" t="str">
            <v>11.951.00.2500.0800.000.0000</v>
          </cell>
        </row>
        <row r="199">
          <cell r="N199" t="str">
            <v xml:space="preserve"> </v>
          </cell>
          <cell r="O199" t="str">
            <v>......</v>
          </cell>
        </row>
        <row r="200">
          <cell r="O200" t="str">
            <v>......</v>
          </cell>
        </row>
        <row r="201">
          <cell r="N201" t="str">
            <v>2601000 OPERATIONS AND MAINTENANCE:Salaries</v>
          </cell>
          <cell r="O201" t="str">
            <v>11.951.00.2600.0110.000.0000</v>
          </cell>
        </row>
        <row r="202">
          <cell r="N202" t="str">
            <v>2602000 OPERATIONS AND MAINTENANCE:Benefits</v>
          </cell>
          <cell r="O202" t="str">
            <v>11.951.00.2600.0200.000.0000</v>
          </cell>
        </row>
        <row r="203">
          <cell r="N203" t="str">
            <v>2603000 OPERATIONS AND MAINTENANCE:Purchased Services</v>
          </cell>
          <cell r="O203" t="str">
            <v>11.951.00.2600.0300.000.0000</v>
          </cell>
        </row>
        <row r="204">
          <cell r="N204" t="str">
            <v>2608000 OPERATIONS AND MAINTENANCE:Other</v>
          </cell>
          <cell r="O204" t="str">
            <v>11.951.00.2600.0800.000.0000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manda Karger" id="{C92B76D5-2D81-43EE-9221-0227505CCFCB}" userId="4c5e9d27c9e9edb6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2-06-17T19:21:46.07" personId="{C92B76D5-2D81-43EE-9221-0227505CCFCB}" id="{458632CC-1F57-49D9-B93F-9F85DFB4B142}">
    <text>5K for Paragon June, 5K for Wilklow May and June</text>
  </threadedComment>
  <threadedComment ref="F11" dT="2022-05-14T03:44:55.81" personId="{C92B76D5-2D81-43EE-9221-0227505CCFCB}" id="{128EBAB9-1CA1-4F3F-9D3A-00B06BEBDF75}">
    <text>3K was in "other" in FY22</text>
  </threadedComment>
  <threadedComment ref="F16" dT="2022-05-14T03:53:18.22" personId="{C92B76D5-2D81-43EE-9221-0227505CCFCB}" id="{C87C266B-F115-4B47-85FF-BBAD9A42D8BE}">
    <text>4K was in other</text>
  </threadedComment>
  <threadedComment ref="D46" dT="2022-06-17T20:08:51.13" personId="{C92B76D5-2D81-43EE-9221-0227505CCFCB}" id="{3BC3CC54-FCBF-41AB-85EA-57AF48A2584D}">
    <text>includes ongoing grant supplies.</text>
  </threadedComment>
  <threadedComment ref="D47" dT="2022-06-17T20:13:25.94" personId="{C92B76D5-2D81-43EE-9221-0227505CCFCB}" id="{1C661481-82B3-492B-836A-0D7ADABEFD85}">
    <text>Student Computers.</text>
  </threadedComment>
  <threadedComment ref="E59" dT="2022-06-17T19:42:51.24" personId="{C92B76D5-2D81-43EE-9221-0227505CCFCB}" id="{5CC6A494-C91F-4C74-AC0C-03EC273F4EBB}">
    <text>Assume 4K for both May and June</text>
  </threadedComment>
  <threadedComment ref="D73" dT="2022-06-17T19:51:00.88" personId="{C92B76D5-2D81-43EE-9221-0227505CCFCB}" id="{7D3F16D5-2C80-434A-8FFB-9C1F1C463CD5}">
    <text>11 new desktops. Not sure if this was for students or staff.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21021-3C60-424B-9477-4A76BA91431C}">
  <sheetPr>
    <tabColor theme="8"/>
    <pageSetUpPr fitToPage="1"/>
  </sheetPr>
  <dimension ref="A1:N52"/>
  <sheetViews>
    <sheetView tabSelected="1" zoomScaleNormal="115" zoomScalePageLayoutView="115" workbookViewId="0">
      <selection activeCell="E15" sqref="E15"/>
    </sheetView>
  </sheetViews>
  <sheetFormatPr defaultColWidth="9.140625" defaultRowHeight="14.25" x14ac:dyDescent="0.2"/>
  <cols>
    <col min="1" max="1" width="10.85546875" style="1" customWidth="1"/>
    <col min="2" max="2" width="39.5703125" style="1" customWidth="1"/>
    <col min="3" max="3" width="20.5703125" style="2" customWidth="1"/>
    <col min="4" max="4" width="20.5703125" style="2" hidden="1" customWidth="1"/>
    <col min="5" max="6" width="20.5703125" style="2" customWidth="1"/>
    <col min="7" max="7" width="24" style="2" hidden="1" customWidth="1"/>
    <col min="8" max="8" width="42.7109375" style="130" customWidth="1"/>
    <col min="9" max="16384" width="9.140625" style="1"/>
  </cols>
  <sheetData>
    <row r="1" spans="1:8" s="3" customFormat="1" ht="75.75" customHeight="1" x14ac:dyDescent="0.25">
      <c r="C1" s="52" t="s">
        <v>368</v>
      </c>
      <c r="D1" s="120" t="s">
        <v>0</v>
      </c>
      <c r="E1" s="42" t="s">
        <v>369</v>
      </c>
      <c r="F1" s="42" t="s">
        <v>372</v>
      </c>
      <c r="G1" s="43" t="s">
        <v>370</v>
      </c>
      <c r="H1" s="43" t="s">
        <v>373</v>
      </c>
    </row>
    <row r="2" spans="1:8" s="3" customFormat="1" x14ac:dyDescent="0.25">
      <c r="C2" s="8"/>
      <c r="D2" s="9"/>
      <c r="E2" s="9"/>
      <c r="F2" s="9"/>
      <c r="G2" s="10"/>
      <c r="H2" s="128"/>
    </row>
    <row r="3" spans="1:8" s="4" customFormat="1" ht="18" customHeight="1" x14ac:dyDescent="0.25">
      <c r="A3" s="4" t="s">
        <v>1</v>
      </c>
      <c r="C3" s="5">
        <v>2595625</v>
      </c>
      <c r="D3" s="6">
        <v>2753539</v>
      </c>
      <c r="E3" s="6">
        <v>2251705</v>
      </c>
      <c r="F3" s="6">
        <v>2769496</v>
      </c>
      <c r="G3" s="7">
        <f>E3-C3</f>
        <v>-343920</v>
      </c>
      <c r="H3" s="129" t="s">
        <v>374</v>
      </c>
    </row>
    <row r="4" spans="1:8" s="4" customFormat="1" x14ac:dyDescent="0.25">
      <c r="C4" s="8"/>
      <c r="D4" s="9"/>
      <c r="E4" s="9"/>
      <c r="F4" s="9"/>
      <c r="G4" s="10"/>
      <c r="H4" s="129"/>
    </row>
    <row r="5" spans="1:8" s="12" customFormat="1" ht="18" customHeight="1" x14ac:dyDescent="0.25">
      <c r="A5" s="11" t="s">
        <v>2</v>
      </c>
      <c r="C5" s="13"/>
      <c r="D5" s="14"/>
      <c r="E5" s="14"/>
      <c r="F5" s="14"/>
      <c r="G5" s="15"/>
      <c r="H5" s="131"/>
    </row>
    <row r="6" spans="1:8" s="17" customFormat="1" ht="18" customHeight="1" x14ac:dyDescent="0.25">
      <c r="A6" s="16"/>
      <c r="B6" s="157" t="s">
        <v>3</v>
      </c>
      <c r="C6" s="26"/>
      <c r="D6" s="27"/>
      <c r="E6" s="27"/>
      <c r="F6" s="27"/>
      <c r="G6" s="28"/>
      <c r="H6" s="129"/>
    </row>
    <row r="7" spans="1:8" s="17" customFormat="1" ht="18" customHeight="1" x14ac:dyDescent="0.25">
      <c r="A7" s="16"/>
      <c r="B7" s="37" t="s">
        <v>4</v>
      </c>
      <c r="C7" s="26">
        <v>0</v>
      </c>
      <c r="D7" s="27">
        <v>0</v>
      </c>
      <c r="E7" s="27">
        <v>0</v>
      </c>
      <c r="F7" s="27">
        <v>5000</v>
      </c>
      <c r="G7" s="28">
        <f>C7-E7</f>
        <v>0</v>
      </c>
      <c r="H7" s="129"/>
    </row>
    <row r="8" spans="1:8" s="17" customFormat="1" ht="18" customHeight="1" x14ac:dyDescent="0.25">
      <c r="A8" s="16"/>
      <c r="B8" s="37" t="s">
        <v>383</v>
      </c>
      <c r="C8" s="26">
        <v>5083729.7659399994</v>
      </c>
      <c r="D8" s="27">
        <f>'[1]Profit and Loss by Month'!$Q$53-'[1]Profit and Loss by Month'!$Q$46+'[1]Profit and Loss by Month'!$Q$36</f>
        <v>3960204.02</v>
      </c>
      <c r="E8" s="27">
        <f>'State Sources'!B4</f>
        <v>5266564.9328080006</v>
      </c>
      <c r="F8" s="27">
        <f>'State Sources'!B4</f>
        <v>5266564.9328080006</v>
      </c>
      <c r="G8" s="28">
        <f t="shared" ref="G8:G18" si="0">C8-E8</f>
        <v>-182835.16686800122</v>
      </c>
      <c r="H8" s="129" t="s">
        <v>382</v>
      </c>
    </row>
    <row r="9" spans="1:8" s="17" customFormat="1" ht="18" customHeight="1" x14ac:dyDescent="0.25">
      <c r="A9" s="16"/>
      <c r="B9" s="37" t="s">
        <v>5</v>
      </c>
      <c r="C9" s="26">
        <v>170514.86</v>
      </c>
      <c r="D9" s="27">
        <f>'[1]Profit and Loss by Month'!$Q$46+'[1]Profit and Loss by Month'!$Q$62</f>
        <v>197641.18</v>
      </c>
      <c r="E9" s="27">
        <f>'Federal Sources'!B9</f>
        <v>159279</v>
      </c>
      <c r="F9" s="27">
        <f>'Federal Sources'!B9</f>
        <v>159279</v>
      </c>
      <c r="G9" s="28">
        <f t="shared" si="0"/>
        <v>11235.859999999986</v>
      </c>
      <c r="H9" s="129"/>
    </row>
    <row r="10" spans="1:8" s="17" customFormat="1" ht="18" customHeight="1" x14ac:dyDescent="0.25">
      <c r="A10" s="16"/>
      <c r="B10" s="37" t="s">
        <v>6</v>
      </c>
      <c r="C10" s="26">
        <v>1500</v>
      </c>
      <c r="D10" s="27">
        <v>0</v>
      </c>
      <c r="E10" s="27">
        <v>1500</v>
      </c>
      <c r="F10" s="27">
        <v>1000</v>
      </c>
      <c r="G10" s="28">
        <f t="shared" si="0"/>
        <v>0</v>
      </c>
      <c r="H10" s="129"/>
    </row>
    <row r="11" spans="1:8" s="17" customFormat="1" ht="18" customHeight="1" x14ac:dyDescent="0.25">
      <c r="A11" s="16"/>
      <c r="B11" s="17" t="s">
        <v>7</v>
      </c>
      <c r="C11" s="26">
        <v>18000</v>
      </c>
      <c r="D11" s="27"/>
      <c r="E11" s="27">
        <v>18000</v>
      </c>
      <c r="F11" s="27">
        <v>20000</v>
      </c>
      <c r="G11" s="28">
        <f t="shared" si="0"/>
        <v>0</v>
      </c>
      <c r="H11" s="129"/>
    </row>
    <row r="12" spans="1:8" s="17" customFormat="1" ht="18" customHeight="1" x14ac:dyDescent="0.25">
      <c r="A12" s="16"/>
      <c r="B12" s="17" t="s">
        <v>8</v>
      </c>
      <c r="C12" s="26">
        <v>5000</v>
      </c>
      <c r="D12" s="27">
        <f>'[1]Profit and Loss by Month'!$Q$13</f>
        <v>27645.360000000001</v>
      </c>
      <c r="E12" s="27">
        <v>5000</v>
      </c>
      <c r="F12" s="27">
        <v>5000</v>
      </c>
      <c r="G12" s="28">
        <f t="shared" si="0"/>
        <v>0</v>
      </c>
      <c r="H12" s="129"/>
    </row>
    <row r="13" spans="1:8" s="17" customFormat="1" ht="18" customHeight="1" x14ac:dyDescent="0.25">
      <c r="A13" s="16"/>
      <c r="B13" s="17" t="s">
        <v>9</v>
      </c>
      <c r="C13" s="26">
        <v>1500</v>
      </c>
      <c r="D13" s="27">
        <f>'[1]Profit and Loss by Month'!$Q$30</f>
        <v>602.92000000000007</v>
      </c>
      <c r="E13" s="27">
        <v>1500</v>
      </c>
      <c r="F13" s="27">
        <v>1000</v>
      </c>
      <c r="G13" s="28">
        <f t="shared" si="0"/>
        <v>0</v>
      </c>
      <c r="H13" s="129"/>
    </row>
    <row r="14" spans="1:8" s="17" customFormat="1" ht="18" customHeight="1" x14ac:dyDescent="0.25">
      <c r="A14" s="16"/>
      <c r="B14" s="17" t="s">
        <v>10</v>
      </c>
      <c r="C14" s="26">
        <v>2500</v>
      </c>
      <c r="D14" s="27">
        <f>'[1]Profit and Loss by Month'!$Q$9+'[1]Profit and Loss by Month'!$Q$8</f>
        <v>1930</v>
      </c>
      <c r="E14" s="27">
        <v>2500</v>
      </c>
      <c r="F14" s="27">
        <v>4000</v>
      </c>
      <c r="G14" s="28">
        <f t="shared" si="0"/>
        <v>0</v>
      </c>
      <c r="H14" s="129"/>
    </row>
    <row r="15" spans="1:8" s="17" customFormat="1" ht="18" customHeight="1" x14ac:dyDescent="0.25">
      <c r="A15" s="16"/>
      <c r="B15" s="17" t="s">
        <v>11</v>
      </c>
      <c r="C15" s="26">
        <v>15000</v>
      </c>
      <c r="D15" s="27">
        <f>SUM('[1]Profit and Loss by Month'!$Q$14:$Q$29)+'[1]Profit and Loss by Month'!$Q$10</f>
        <v>20245.62</v>
      </c>
      <c r="E15" s="27">
        <v>15000</v>
      </c>
      <c r="F15" s="27">
        <v>19500</v>
      </c>
      <c r="G15" s="28">
        <f t="shared" si="0"/>
        <v>0</v>
      </c>
      <c r="H15" s="129" t="s">
        <v>379</v>
      </c>
    </row>
    <row r="16" spans="1:8" s="17" customFormat="1" ht="18" customHeight="1" x14ac:dyDescent="0.25">
      <c r="A16" s="16"/>
      <c r="B16" s="17" t="s">
        <v>12</v>
      </c>
      <c r="C16" s="26">
        <v>8000</v>
      </c>
      <c r="D16" s="27">
        <f>SUM('[1]Profit and Loss by Month'!$Q$31:$Q$32)+'[1]Profit and Loss by Month'!$Q$35+'[1]Profit and Loss by Month'!$Q$38</f>
        <v>52226.41</v>
      </c>
      <c r="E16" s="27">
        <v>8000</v>
      </c>
      <c r="F16" s="27">
        <v>5000</v>
      </c>
      <c r="G16" s="28">
        <f t="shared" si="0"/>
        <v>0</v>
      </c>
      <c r="H16" s="129"/>
    </row>
    <row r="17" spans="1:14" s="17" customFormat="1" ht="18" customHeight="1" x14ac:dyDescent="0.25">
      <c r="A17" s="16"/>
      <c r="B17" s="17" t="s">
        <v>13</v>
      </c>
      <c r="C17" s="26">
        <v>12000</v>
      </c>
      <c r="D17" s="27">
        <f>'[1]Profit and Loss by Month'!$Q$37</f>
        <v>46.289999999999992</v>
      </c>
      <c r="E17" s="27">
        <v>12000</v>
      </c>
      <c r="F17" s="27">
        <v>15000</v>
      </c>
      <c r="G17" s="28">
        <f t="shared" si="0"/>
        <v>0</v>
      </c>
      <c r="H17" s="129" t="s">
        <v>379</v>
      </c>
    </row>
    <row r="18" spans="1:14" s="12" customFormat="1" ht="18" customHeight="1" thickBot="1" x14ac:dyDescent="0.3">
      <c r="A18" s="152" t="s">
        <v>14</v>
      </c>
      <c r="B18" s="153"/>
      <c r="C18" s="154">
        <v>5317744.6259399997</v>
      </c>
      <c r="D18" s="155">
        <f>SUM(D6:D17)</f>
        <v>4260541.8</v>
      </c>
      <c r="E18" s="155">
        <f>SUM(E6:E17)</f>
        <v>5489343.9328080006</v>
      </c>
      <c r="F18" s="155">
        <f>SUM(F6:F17)</f>
        <v>5501343.9328080006</v>
      </c>
      <c r="G18" s="151">
        <f t="shared" si="0"/>
        <v>-171599.30686800089</v>
      </c>
      <c r="H18" s="131"/>
    </row>
    <row r="19" spans="1:14" s="17" customFormat="1" ht="12" customHeight="1" x14ac:dyDescent="0.25">
      <c r="A19" s="16"/>
      <c r="C19" s="18"/>
      <c r="D19" s="19"/>
      <c r="E19" s="19"/>
      <c r="F19" s="19"/>
      <c r="G19" s="20"/>
      <c r="H19" s="129"/>
    </row>
    <row r="20" spans="1:14" s="12" customFormat="1" ht="18" customHeight="1" x14ac:dyDescent="0.25">
      <c r="A20" s="11" t="s">
        <v>15</v>
      </c>
      <c r="C20" s="13"/>
      <c r="D20" s="14"/>
      <c r="E20" s="14"/>
      <c r="F20" s="14"/>
      <c r="G20" s="15"/>
      <c r="H20" s="131"/>
    </row>
    <row r="21" spans="1:14" s="17" customFormat="1" ht="18" customHeight="1" x14ac:dyDescent="0.25">
      <c r="A21" s="16"/>
      <c r="B21" s="17" t="s">
        <v>16</v>
      </c>
      <c r="C21" s="26">
        <v>2135526.1000000006</v>
      </c>
      <c r="D21" s="27">
        <v>2114147.2049999996</v>
      </c>
      <c r="E21" s="27">
        <f>2272385.6+75375-375</f>
        <v>2347385.6</v>
      </c>
      <c r="F21" s="27">
        <f>3064332+951.68-171590-253740</f>
        <v>2639953.6800000002</v>
      </c>
      <c r="G21" s="28">
        <f t="shared" ref="G21:G36" si="1">C21-E21</f>
        <v>-211859.49999999953</v>
      </c>
      <c r="H21" s="129" t="s">
        <v>762</v>
      </c>
    </row>
    <row r="22" spans="1:14" s="17" customFormat="1" ht="18" customHeight="1" x14ac:dyDescent="0.25">
      <c r="A22" s="16"/>
      <c r="B22" s="17" t="s">
        <v>17</v>
      </c>
      <c r="C22" s="26">
        <v>497310.7030000001</v>
      </c>
      <c r="D22" s="27">
        <v>635515.71</v>
      </c>
      <c r="E22" s="27">
        <f>618463</f>
        <v>618463</v>
      </c>
      <c r="F22" s="27">
        <f>803418-44648.32-32000-41353</f>
        <v>685416.68</v>
      </c>
      <c r="G22" s="28">
        <f t="shared" si="1"/>
        <v>-121152.2969999999</v>
      </c>
      <c r="H22" s="129" t="s">
        <v>375</v>
      </c>
      <c r="N22" s="17">
        <v>356094</v>
      </c>
    </row>
    <row r="23" spans="1:14" s="17" customFormat="1" ht="18" customHeight="1" x14ac:dyDescent="0.25">
      <c r="A23" s="16"/>
      <c r="B23" s="17" t="s">
        <v>18</v>
      </c>
      <c r="C23" s="26">
        <v>470015</v>
      </c>
      <c r="D23" s="27">
        <v>495152.8</v>
      </c>
      <c r="E23" s="27">
        <f>'Operating Expenditures'!B2+'Operating Expenditures'!B13-E24</f>
        <v>480217.97496000002</v>
      </c>
      <c r="F23" s="27">
        <v>331578</v>
      </c>
      <c r="G23" s="28">
        <f t="shared" si="1"/>
        <v>-10202.974960000021</v>
      </c>
      <c r="H23" s="129"/>
      <c r="L23" s="17">
        <v>73021</v>
      </c>
    </row>
    <row r="24" spans="1:14" s="17" customFormat="1" ht="18" customHeight="1" x14ac:dyDescent="0.25">
      <c r="A24" s="16"/>
      <c r="B24" s="17" t="s">
        <v>19</v>
      </c>
      <c r="C24" s="26">
        <v>119277.98279999998</v>
      </c>
      <c r="D24" s="27">
        <v>113600.99000000002</v>
      </c>
      <c r="E24" s="27">
        <v>114716</v>
      </c>
      <c r="F24" s="27">
        <v>125179</v>
      </c>
      <c r="G24" s="28">
        <f t="shared" si="1"/>
        <v>4561.9827999999834</v>
      </c>
      <c r="H24" s="129"/>
    </row>
    <row r="25" spans="1:14" s="17" customFormat="1" ht="18" customHeight="1" x14ac:dyDescent="0.25">
      <c r="A25" s="16"/>
      <c r="B25" s="17" t="s">
        <v>20</v>
      </c>
      <c r="C25" s="26">
        <v>100000</v>
      </c>
      <c r="D25" s="27">
        <v>94854.399999999994</v>
      </c>
      <c r="E25" s="27">
        <f>'Operating Expenditures'!B29</f>
        <v>100000</v>
      </c>
      <c r="F25" s="27">
        <v>100000</v>
      </c>
      <c r="G25" s="28">
        <f t="shared" si="1"/>
        <v>0</v>
      </c>
      <c r="H25" s="129" t="s">
        <v>376</v>
      </c>
      <c r="N25" s="17">
        <f>N22/7*12</f>
        <v>610446.85714285716</v>
      </c>
    </row>
    <row r="26" spans="1:14" s="17" customFormat="1" ht="18" customHeight="1" x14ac:dyDescent="0.25">
      <c r="A26" s="16"/>
      <c r="B26" s="17" t="s">
        <v>21</v>
      </c>
      <c r="C26" s="26">
        <v>29400</v>
      </c>
      <c r="D26" s="27">
        <v>16426.14</v>
      </c>
      <c r="E26" s="27">
        <f>'Operating Expenditures'!B33</f>
        <v>29400</v>
      </c>
      <c r="F26" s="27">
        <v>32400</v>
      </c>
      <c r="G26" s="28">
        <f t="shared" si="1"/>
        <v>0</v>
      </c>
      <c r="H26" s="129"/>
      <c r="L26" s="17">
        <f>L23/7*12</f>
        <v>125178.85714285716</v>
      </c>
    </row>
    <row r="27" spans="1:14" s="17" customFormat="1" ht="18" customHeight="1" x14ac:dyDescent="0.25">
      <c r="A27" s="16"/>
      <c r="B27" s="17" t="s">
        <v>22</v>
      </c>
      <c r="C27" s="26">
        <v>35000</v>
      </c>
      <c r="D27" s="27">
        <v>45743.68</v>
      </c>
      <c r="E27" s="27">
        <f>'Operating Expenditures'!B39</f>
        <v>35000</v>
      </c>
      <c r="F27" s="27">
        <v>30000</v>
      </c>
      <c r="G27" s="28">
        <f t="shared" si="1"/>
        <v>0</v>
      </c>
      <c r="H27" s="129" t="s">
        <v>378</v>
      </c>
    </row>
    <row r="28" spans="1:14" s="17" customFormat="1" ht="18" customHeight="1" x14ac:dyDescent="0.25">
      <c r="A28" s="16"/>
      <c r="B28" s="17" t="s">
        <v>23</v>
      </c>
      <c r="C28" s="26">
        <v>60000</v>
      </c>
      <c r="D28" s="27">
        <v>63640.409999999996</v>
      </c>
      <c r="E28" s="27">
        <f>'Operating Expenditures'!B41</f>
        <v>60000</v>
      </c>
      <c r="F28" s="27">
        <v>60000</v>
      </c>
      <c r="G28" s="28">
        <f t="shared" si="1"/>
        <v>0</v>
      </c>
      <c r="H28" s="129"/>
    </row>
    <row r="29" spans="1:14" s="17" customFormat="1" ht="18" customHeight="1" x14ac:dyDescent="0.25">
      <c r="A29" s="16"/>
      <c r="B29" s="17" t="s">
        <v>24</v>
      </c>
      <c r="C29" s="26">
        <v>413150</v>
      </c>
      <c r="D29" s="27">
        <v>240856.36000000002</v>
      </c>
      <c r="E29" s="27">
        <f>'Operating Expenditures'!B43+'Operating Expenditures'!B71</f>
        <v>413150</v>
      </c>
      <c r="F29" s="27">
        <v>420000</v>
      </c>
      <c r="G29" s="28">
        <f t="shared" si="1"/>
        <v>0</v>
      </c>
      <c r="H29" s="129"/>
    </row>
    <row r="30" spans="1:14" s="17" customFormat="1" ht="18" customHeight="1" x14ac:dyDescent="0.25">
      <c r="A30" s="16"/>
      <c r="B30" s="17" t="s">
        <v>25</v>
      </c>
      <c r="C30" s="26">
        <v>80000</v>
      </c>
      <c r="D30" s="27">
        <v>299620.88</v>
      </c>
      <c r="E30" s="27">
        <f>'Operating Expenditures'!B90</f>
        <v>80000</v>
      </c>
      <c r="F30" s="27">
        <v>70000</v>
      </c>
      <c r="G30" s="28">
        <f t="shared" si="1"/>
        <v>0</v>
      </c>
      <c r="H30" s="129" t="s">
        <v>377</v>
      </c>
    </row>
    <row r="31" spans="1:14" s="17" customFormat="1" ht="18" customHeight="1" x14ac:dyDescent="0.25">
      <c r="A31" s="16"/>
      <c r="B31" s="17" t="s">
        <v>26</v>
      </c>
      <c r="C31" s="26">
        <v>37300</v>
      </c>
      <c r="D31" s="27">
        <v>32155.840000000004</v>
      </c>
      <c r="E31" s="27">
        <f>'Operating Expenditures'!B82</f>
        <v>37300</v>
      </c>
      <c r="F31" s="27">
        <v>40000</v>
      </c>
      <c r="G31" s="28">
        <f t="shared" si="1"/>
        <v>0</v>
      </c>
      <c r="H31" s="129"/>
    </row>
    <row r="32" spans="1:14" s="17" customFormat="1" ht="18" customHeight="1" x14ac:dyDescent="0.25">
      <c r="A32" s="16"/>
      <c r="B32" s="17" t="s">
        <v>27</v>
      </c>
      <c r="C32" s="26">
        <v>7500</v>
      </c>
      <c r="D32" s="27">
        <v>2124.25</v>
      </c>
      <c r="E32" s="27">
        <v>12000</v>
      </c>
      <c r="F32" s="27">
        <v>10000</v>
      </c>
      <c r="G32" s="28">
        <f t="shared" si="1"/>
        <v>-4500</v>
      </c>
      <c r="H32" s="129"/>
    </row>
    <row r="33" spans="1:8" s="17" customFormat="1" ht="18" customHeight="1" x14ac:dyDescent="0.25">
      <c r="A33" s="16"/>
      <c r="B33" s="17" t="s">
        <v>28</v>
      </c>
      <c r="C33" s="26">
        <v>510308</v>
      </c>
      <c r="D33" s="27">
        <v>504719.79166666663</v>
      </c>
      <c r="E33" s="27">
        <v>509340</v>
      </c>
      <c r="F33" s="27">
        <v>505075</v>
      </c>
      <c r="G33" s="28">
        <f t="shared" si="1"/>
        <v>968</v>
      </c>
      <c r="H33" s="129" t="s">
        <v>386</v>
      </c>
    </row>
    <row r="34" spans="1:8" s="17" customFormat="1" ht="18" customHeight="1" x14ac:dyDescent="0.25">
      <c r="A34" s="16"/>
      <c r="B34" s="17" t="s">
        <v>29</v>
      </c>
      <c r="C34" s="26">
        <v>44329</v>
      </c>
      <c r="D34" s="27">
        <v>5850</v>
      </c>
      <c r="E34" s="27">
        <f>'Operating Expenditures'!B95</f>
        <v>44329</v>
      </c>
      <c r="F34" s="27">
        <v>44340</v>
      </c>
      <c r="G34" s="28">
        <f t="shared" si="1"/>
        <v>0</v>
      </c>
      <c r="H34" s="129"/>
    </row>
    <row r="35" spans="1:8" s="17" customFormat="1" ht="18" customHeight="1" x14ac:dyDescent="0.25">
      <c r="A35" s="16"/>
      <c r="B35" s="17" t="s">
        <v>30</v>
      </c>
      <c r="C35" s="26">
        <v>22695.583929000004</v>
      </c>
      <c r="D35" s="27">
        <v>15000</v>
      </c>
      <c r="E35" s="27">
        <f>SUM(E21:E34)*0.005</f>
        <v>24406.507874800001</v>
      </c>
      <c r="F35" s="27">
        <v>25000</v>
      </c>
      <c r="G35" s="28">
        <f t="shared" si="1"/>
        <v>-1710.9239457999975</v>
      </c>
      <c r="H35" s="129"/>
    </row>
    <row r="36" spans="1:8" s="17" customFormat="1" ht="18" customHeight="1" thickBot="1" x14ac:dyDescent="0.3">
      <c r="A36" s="11" t="s">
        <v>31</v>
      </c>
      <c r="B36" s="12"/>
      <c r="C36" s="22">
        <v>4561812.3697290011</v>
      </c>
      <c r="D36" s="23">
        <f>SUM(D21:D35)</f>
        <v>4679408.4566666661</v>
      </c>
      <c r="E36" s="24">
        <f>SUM(E21:E35)</f>
        <v>4905708.0828347998</v>
      </c>
      <c r="F36" s="24">
        <f>SUM(F21:F35)</f>
        <v>5118942.3600000003</v>
      </c>
      <c r="G36" s="151">
        <f t="shared" si="1"/>
        <v>-343895.7131057987</v>
      </c>
      <c r="H36" s="132"/>
    </row>
    <row r="37" spans="1:8" s="12" customFormat="1" ht="18" customHeight="1" x14ac:dyDescent="0.25">
      <c r="A37" s="16"/>
      <c r="B37" s="17"/>
      <c r="C37" s="18"/>
      <c r="D37" s="19"/>
      <c r="E37" s="19"/>
      <c r="F37" s="19"/>
      <c r="G37" s="20"/>
      <c r="H37" s="129"/>
    </row>
    <row r="38" spans="1:8" s="17" customFormat="1" ht="17.25" customHeight="1" thickBot="1" x14ac:dyDescent="0.3">
      <c r="A38" s="11" t="s">
        <v>32</v>
      </c>
      <c r="B38" s="12"/>
      <c r="C38" s="22">
        <v>755932.25621099863</v>
      </c>
      <c r="D38" s="23">
        <f>D18-D36</f>
        <v>-418866.65666666627</v>
      </c>
      <c r="E38" s="148">
        <f>E18-E36</f>
        <v>583635.84997320082</v>
      </c>
      <c r="F38" s="148">
        <f>F18-F36</f>
        <v>382401.57280800026</v>
      </c>
      <c r="G38" s="25">
        <f>E38-C38</f>
        <v>-172296.40623779781</v>
      </c>
      <c r="H38" s="131"/>
    </row>
    <row r="39" spans="1:8" s="12" customFormat="1" ht="18" customHeight="1" x14ac:dyDescent="0.25">
      <c r="A39" s="17"/>
      <c r="B39" s="17"/>
      <c r="C39" s="18"/>
      <c r="D39" s="63"/>
      <c r="E39" s="27"/>
      <c r="F39" s="27"/>
      <c r="G39" s="28"/>
      <c r="H39" s="129"/>
    </row>
    <row r="40" spans="1:8" s="17" customFormat="1" ht="18" customHeight="1" x14ac:dyDescent="0.25">
      <c r="A40" s="4" t="s">
        <v>33</v>
      </c>
      <c r="B40" s="12"/>
      <c r="C40" s="29"/>
      <c r="D40" s="30"/>
      <c r="E40" s="30"/>
      <c r="F40" s="30"/>
      <c r="G40" s="31"/>
      <c r="H40" s="131"/>
    </row>
    <row r="41" spans="1:8" s="12" customFormat="1" ht="18" customHeight="1" x14ac:dyDescent="0.25">
      <c r="A41" s="32" t="s">
        <v>34</v>
      </c>
      <c r="B41" s="17"/>
      <c r="C41" s="26">
        <v>154416.89297819996</v>
      </c>
      <c r="D41" s="27">
        <f>(D18-D9)*0.03</f>
        <v>121887.01859999998</v>
      </c>
      <c r="E41" s="27">
        <f>(E18-E9)*0.03</f>
        <v>159901.94798424002</v>
      </c>
      <c r="F41" s="27">
        <f>(F18-F9)*0.03</f>
        <v>160261.94798424002</v>
      </c>
      <c r="G41" s="28">
        <f>E41-C41</f>
        <v>5485.0550060400565</v>
      </c>
      <c r="H41" s="129"/>
    </row>
    <row r="42" spans="1:8" s="12" customFormat="1" ht="18" customHeight="1" x14ac:dyDescent="0.25">
      <c r="A42" s="32" t="s">
        <v>35</v>
      </c>
      <c r="B42" s="17"/>
      <c r="C42" s="26">
        <v>1019947</v>
      </c>
      <c r="D42" s="27">
        <v>1019947</v>
      </c>
      <c r="E42" s="27">
        <v>1019947</v>
      </c>
      <c r="F42" s="27"/>
      <c r="G42" s="28">
        <f>E42-C42</f>
        <v>0</v>
      </c>
      <c r="H42" s="129"/>
    </row>
    <row r="43" spans="1:8" s="12" customFormat="1" ht="18" customHeight="1" x14ac:dyDescent="0.25">
      <c r="A43" s="32" t="s">
        <v>36</v>
      </c>
      <c r="B43" s="17"/>
      <c r="C43" s="26">
        <v>44200</v>
      </c>
      <c r="D43" s="27">
        <v>44200</v>
      </c>
      <c r="E43" s="27">
        <v>44200</v>
      </c>
      <c r="F43" s="27"/>
      <c r="G43" s="28">
        <f>E43-C43</f>
        <v>0</v>
      </c>
      <c r="H43" s="129"/>
    </row>
    <row r="44" spans="1:8" s="17" customFormat="1" ht="18" customHeight="1" x14ac:dyDescent="0.25">
      <c r="A44" s="32" t="s">
        <v>37</v>
      </c>
      <c r="C44" s="26">
        <v>2132993.3632327989</v>
      </c>
      <c r="D44" s="27">
        <f>D45-D41-D42-D43</f>
        <v>1148638.3247333337</v>
      </c>
      <c r="E44" s="27">
        <f>E45-E41-E42-E43</f>
        <v>1611291.9019889608</v>
      </c>
      <c r="F44" s="27"/>
      <c r="G44" s="28">
        <f>E44-C44</f>
        <v>-521701.46124383807</v>
      </c>
      <c r="H44" s="129"/>
    </row>
    <row r="45" spans="1:8" s="17" customFormat="1" ht="18" customHeight="1" thickBot="1" x14ac:dyDescent="0.3">
      <c r="A45" s="21" t="s">
        <v>38</v>
      </c>
      <c r="B45" s="4"/>
      <c r="C45" s="22">
        <v>3351557.2562109986</v>
      </c>
      <c r="D45" s="23">
        <f>D3+D38</f>
        <v>2334672.3433333337</v>
      </c>
      <c r="E45" s="24">
        <f>E3+E38</f>
        <v>2835340.8499732008</v>
      </c>
      <c r="F45" s="24"/>
      <c r="G45" s="25">
        <f>E45-C45</f>
        <v>-516216.40623779781</v>
      </c>
      <c r="H45" s="129"/>
    </row>
    <row r="46" spans="1:8" s="4" customFormat="1" ht="18" customHeight="1" x14ac:dyDescent="0.25">
      <c r="A46" s="17"/>
      <c r="B46" s="17"/>
      <c r="C46" s="19" t="s">
        <v>39</v>
      </c>
      <c r="D46" s="19"/>
      <c r="E46" s="19" t="s">
        <v>39</v>
      </c>
      <c r="F46" s="19"/>
      <c r="G46" s="19"/>
      <c r="H46" s="129"/>
    </row>
    <row r="47" spans="1:8" s="17" customFormat="1" x14ac:dyDescent="0.25">
      <c r="A47" s="36"/>
      <c r="C47" s="19"/>
      <c r="D47" s="19"/>
      <c r="E47" s="19"/>
      <c r="F47" s="19"/>
      <c r="G47" s="19"/>
      <c r="H47" s="129"/>
    </row>
    <row r="48" spans="1:8" s="17" customFormat="1" ht="15" thickBot="1" x14ac:dyDescent="0.25">
      <c r="A48" s="1"/>
      <c r="B48" s="1"/>
      <c r="C48" s="2"/>
      <c r="D48" s="2"/>
      <c r="E48" s="2"/>
      <c r="F48" s="2"/>
      <c r="G48" s="2"/>
      <c r="H48" s="130"/>
    </row>
    <row r="49" spans="2:8" ht="51" customHeight="1" x14ac:dyDescent="0.2">
      <c r="B49" s="46" t="s">
        <v>40</v>
      </c>
      <c r="C49" s="47" t="s">
        <v>352</v>
      </c>
      <c r="D49" s="40" t="s">
        <v>41</v>
      </c>
      <c r="E49" s="42" t="s">
        <v>352</v>
      </c>
      <c r="F49" s="42"/>
      <c r="G49" s="41" t="s">
        <v>42</v>
      </c>
    </row>
    <row r="50" spans="2:8" ht="18.75" customHeight="1" x14ac:dyDescent="0.2">
      <c r="B50" s="48" t="s">
        <v>43</v>
      </c>
      <c r="C50" s="49">
        <v>0.46757586466878548</v>
      </c>
      <c r="D50" s="38">
        <f>C44/C36</f>
        <v>0.46757586466878548</v>
      </c>
      <c r="E50" s="125">
        <f>E44/E36</f>
        <v>0.32845246288235397</v>
      </c>
      <c r="F50" s="125"/>
      <c r="G50" s="44" t="s">
        <v>44</v>
      </c>
      <c r="H50" s="129"/>
    </row>
    <row r="51" spans="2:8" s="17" customFormat="1" ht="18.75" customHeight="1" thickBot="1" x14ac:dyDescent="0.25">
      <c r="B51" s="50" t="s">
        <v>45</v>
      </c>
      <c r="C51" s="51">
        <v>170.6651906041067</v>
      </c>
      <c r="D51" s="39">
        <f>C44/C52</f>
        <v>170.6651906041067</v>
      </c>
      <c r="E51" s="126">
        <f>E44/E52</f>
        <v>119.88514895205918</v>
      </c>
      <c r="F51" s="126"/>
      <c r="G51" s="45" t="s">
        <v>46</v>
      </c>
      <c r="H51" s="130"/>
    </row>
    <row r="52" spans="2:8" x14ac:dyDescent="0.2">
      <c r="C52" s="35">
        <v>12498.116081449318</v>
      </c>
      <c r="E52" s="35">
        <f>E36/365</f>
        <v>13440.296117355616</v>
      </c>
      <c r="F52" s="35"/>
    </row>
  </sheetData>
  <phoneticPr fontId="11" type="noConversion"/>
  <conditionalFormatting sqref="D50:F50">
    <cfRule type="cellIs" dxfId="5" priority="3" operator="lessThan">
      <formula>0.05</formula>
    </cfRule>
    <cfRule type="cellIs" dxfId="4" priority="4" operator="between">
      <formula>0.05</formula>
      <formula>0.16</formula>
    </cfRule>
    <cfRule type="cellIs" dxfId="3" priority="6" operator="greaterThan">
      <formula>0.16</formula>
    </cfRule>
  </conditionalFormatting>
  <conditionalFormatting sqref="D51:F51">
    <cfRule type="cellIs" dxfId="2" priority="1" operator="lessThan">
      <formula>19</formula>
    </cfRule>
    <cfRule type="cellIs" dxfId="1" priority="2" operator="between">
      <formula>19</formula>
      <formula>60</formula>
    </cfRule>
    <cfRule type="cellIs" dxfId="0" priority="5" operator="greaterThan">
      <formula>60</formula>
    </cfRule>
  </conditionalFormatting>
  <printOptions horizontalCentered="1"/>
  <pageMargins left="0.45" right="0.45" top="1" bottom="0.5" header="0.3" footer="0.3"/>
  <pageSetup scale="69" orientation="portrait" r:id="rId1"/>
  <headerFooter>
    <oddHeader>&amp;C&amp;"Cambria,Regular"&amp;14Colorado Springs Charter Academy
FY 2023-24 Proposed Budget
May 31, 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EAFA-FCC9-48A1-8284-A5D6A0922284}">
  <dimension ref="A1:J93"/>
  <sheetViews>
    <sheetView workbookViewId="0">
      <selection activeCell="C84" sqref="C84:C93"/>
    </sheetView>
  </sheetViews>
  <sheetFormatPr defaultColWidth="9.140625" defaultRowHeight="15" x14ac:dyDescent="0.25"/>
  <cols>
    <col min="1" max="1" width="33.5703125" style="107" customWidth="1"/>
    <col min="2" max="2" width="11.5703125" style="107" bestFit="1" customWidth="1"/>
    <col min="3" max="3" width="17.140625" style="107" customWidth="1"/>
    <col min="4" max="4" width="7.7109375" style="107" customWidth="1"/>
    <col min="5" max="5" width="22.28515625" style="107" customWidth="1"/>
    <col min="6" max="6" width="47.28515625" style="107" customWidth="1"/>
    <col min="7" max="7" width="79" style="107" hidden="1" customWidth="1"/>
    <col min="8" max="8" width="42.140625" style="107" hidden="1" customWidth="1"/>
    <col min="9" max="9" width="10.28515625" style="107" customWidth="1"/>
    <col min="10" max="10" width="8.7109375" style="107" bestFit="1" customWidth="1"/>
    <col min="11" max="16384" width="9.140625" style="107"/>
  </cols>
  <sheetData>
    <row r="1" spans="1:10" ht="18" x14ac:dyDescent="0.25">
      <c r="A1" s="184" t="s">
        <v>175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8" x14ac:dyDescent="0.25">
      <c r="A2" s="184" t="s">
        <v>176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x14ac:dyDescent="0.25">
      <c r="A3" s="186" t="s">
        <v>177</v>
      </c>
      <c r="B3" s="185"/>
      <c r="C3" s="185"/>
      <c r="D3" s="185"/>
      <c r="E3" s="185"/>
      <c r="F3" s="185"/>
      <c r="G3" s="185"/>
      <c r="H3" s="185"/>
      <c r="I3" s="185"/>
      <c r="J3" s="185"/>
    </row>
    <row r="5" spans="1:10" x14ac:dyDescent="0.25">
      <c r="B5" s="108" t="s">
        <v>178</v>
      </c>
      <c r="C5" s="108" t="s">
        <v>179</v>
      </c>
      <c r="D5" s="108" t="s">
        <v>180</v>
      </c>
      <c r="E5" s="108" t="s">
        <v>181</v>
      </c>
      <c r="F5" s="108" t="s">
        <v>182</v>
      </c>
      <c r="G5" s="108" t="s">
        <v>183</v>
      </c>
      <c r="H5" s="108" t="s">
        <v>184</v>
      </c>
      <c r="I5" s="108" t="s">
        <v>185</v>
      </c>
      <c r="J5" s="108" t="s">
        <v>186</v>
      </c>
    </row>
    <row r="6" spans="1:10" x14ac:dyDescent="0.25">
      <c r="A6" s="109" t="s">
        <v>187</v>
      </c>
    </row>
    <row r="7" spans="1:10" x14ac:dyDescent="0.25">
      <c r="A7" s="109" t="s">
        <v>188</v>
      </c>
    </row>
    <row r="8" spans="1:10" x14ac:dyDescent="0.25">
      <c r="A8" s="109" t="s">
        <v>189</v>
      </c>
    </row>
    <row r="9" spans="1:10" x14ac:dyDescent="0.25">
      <c r="A9" s="109" t="s">
        <v>190</v>
      </c>
    </row>
    <row r="10" spans="1:10" s="113" customFormat="1" x14ac:dyDescent="0.25">
      <c r="B10" s="114" t="s">
        <v>191</v>
      </c>
      <c r="C10" s="114" t="s">
        <v>192</v>
      </c>
      <c r="D10" s="114">
        <v>5746</v>
      </c>
      <c r="E10" s="114" t="s">
        <v>193</v>
      </c>
      <c r="F10" s="114" t="s">
        <v>194</v>
      </c>
      <c r="G10" s="114" t="s">
        <v>195</v>
      </c>
      <c r="H10" s="114" t="s">
        <v>196</v>
      </c>
      <c r="I10" s="115">
        <v>2757</v>
      </c>
      <c r="J10" s="115">
        <v>2757</v>
      </c>
    </row>
    <row r="11" spans="1:10" x14ac:dyDescent="0.25">
      <c r="B11" s="110" t="s">
        <v>191</v>
      </c>
      <c r="C11" s="110" t="s">
        <v>192</v>
      </c>
      <c r="D11" s="110">
        <v>5748</v>
      </c>
      <c r="E11" s="110" t="s">
        <v>197</v>
      </c>
      <c r="F11" s="110" t="s">
        <v>198</v>
      </c>
      <c r="G11" s="110" t="s">
        <v>195</v>
      </c>
      <c r="H11" s="110" t="s">
        <v>196</v>
      </c>
      <c r="I11" s="111">
        <v>550</v>
      </c>
      <c r="J11" s="111">
        <v>3307</v>
      </c>
    </row>
    <row r="12" spans="1:10" x14ac:dyDescent="0.25">
      <c r="B12" s="110" t="s">
        <v>199</v>
      </c>
      <c r="C12" s="110" t="s">
        <v>192</v>
      </c>
      <c r="D12" s="110"/>
      <c r="E12" s="110" t="s">
        <v>200</v>
      </c>
      <c r="F12" s="110" t="s">
        <v>201</v>
      </c>
      <c r="G12" s="110" t="s">
        <v>195</v>
      </c>
      <c r="H12" s="110" t="s">
        <v>202</v>
      </c>
      <c r="I12" s="111">
        <v>1284.45</v>
      </c>
      <c r="J12" s="111">
        <v>4591.45</v>
      </c>
    </row>
    <row r="13" spans="1:10" x14ac:dyDescent="0.25">
      <c r="B13" s="110" t="s">
        <v>199</v>
      </c>
      <c r="C13" s="110" t="s">
        <v>192</v>
      </c>
      <c r="D13" s="110"/>
      <c r="E13" s="110" t="s">
        <v>200</v>
      </c>
      <c r="F13" s="110" t="s">
        <v>203</v>
      </c>
      <c r="G13" s="110" t="s">
        <v>195</v>
      </c>
      <c r="H13" s="110" t="s">
        <v>202</v>
      </c>
      <c r="I13" s="111">
        <v>1284.45</v>
      </c>
      <c r="J13" s="111">
        <v>5875.9</v>
      </c>
    </row>
    <row r="14" spans="1:10" x14ac:dyDescent="0.25">
      <c r="B14" s="110" t="s">
        <v>204</v>
      </c>
      <c r="C14" s="110" t="s">
        <v>192</v>
      </c>
      <c r="D14" s="110">
        <v>5770</v>
      </c>
      <c r="E14" s="110" t="s">
        <v>205</v>
      </c>
      <c r="F14" s="110" t="s">
        <v>206</v>
      </c>
      <c r="G14" s="110" t="s">
        <v>195</v>
      </c>
      <c r="H14" s="110" t="s">
        <v>196</v>
      </c>
      <c r="I14" s="111">
        <v>14915.86</v>
      </c>
      <c r="J14" s="111">
        <v>20791.759999999998</v>
      </c>
    </row>
    <row r="15" spans="1:10" s="113" customFormat="1" x14ac:dyDescent="0.25">
      <c r="B15" s="114" t="s">
        <v>207</v>
      </c>
      <c r="C15" s="114" t="s">
        <v>192</v>
      </c>
      <c r="D15" s="114">
        <v>5805</v>
      </c>
      <c r="E15" s="114" t="s">
        <v>193</v>
      </c>
      <c r="F15" s="114" t="s">
        <v>208</v>
      </c>
      <c r="G15" s="114" t="s">
        <v>195</v>
      </c>
      <c r="H15" s="114" t="s">
        <v>196</v>
      </c>
      <c r="I15" s="115">
        <v>3082</v>
      </c>
      <c r="J15" s="115">
        <v>23873.759999999998</v>
      </c>
    </row>
    <row r="16" spans="1:10" x14ac:dyDescent="0.25">
      <c r="B16" s="110" t="s">
        <v>209</v>
      </c>
      <c r="C16" s="110" t="s">
        <v>192</v>
      </c>
      <c r="D16" s="110">
        <v>5820</v>
      </c>
      <c r="E16" s="110" t="s">
        <v>210</v>
      </c>
      <c r="F16" s="110" t="s">
        <v>211</v>
      </c>
      <c r="G16" s="110" t="s">
        <v>195</v>
      </c>
      <c r="H16" s="110" t="s">
        <v>196</v>
      </c>
      <c r="I16" s="111">
        <v>120</v>
      </c>
      <c r="J16" s="111">
        <v>23993.759999999998</v>
      </c>
    </row>
    <row r="17" spans="2:10" x14ac:dyDescent="0.25">
      <c r="B17" s="110" t="s">
        <v>212</v>
      </c>
      <c r="C17" s="110" t="s">
        <v>192</v>
      </c>
      <c r="D17" s="110"/>
      <c r="E17" s="110" t="s">
        <v>200</v>
      </c>
      <c r="F17" s="110" t="s">
        <v>213</v>
      </c>
      <c r="G17" s="110" t="s">
        <v>195</v>
      </c>
      <c r="H17" s="110" t="s">
        <v>202</v>
      </c>
      <c r="I17" s="111">
        <v>179.88</v>
      </c>
      <c r="J17" s="111">
        <v>24173.64</v>
      </c>
    </row>
    <row r="18" spans="2:10" x14ac:dyDescent="0.25">
      <c r="B18" s="110" t="s">
        <v>212</v>
      </c>
      <c r="C18" s="110" t="s">
        <v>192</v>
      </c>
      <c r="D18" s="110"/>
      <c r="E18" s="110" t="s">
        <v>200</v>
      </c>
      <c r="F18" s="110" t="s">
        <v>201</v>
      </c>
      <c r="G18" s="110" t="s">
        <v>195</v>
      </c>
      <c r="H18" s="110" t="s">
        <v>202</v>
      </c>
      <c r="I18" s="111">
        <v>1284.45</v>
      </c>
      <c r="J18" s="111">
        <v>25458.09</v>
      </c>
    </row>
    <row r="19" spans="2:10" x14ac:dyDescent="0.25">
      <c r="B19" s="110" t="s">
        <v>214</v>
      </c>
      <c r="C19" s="110" t="s">
        <v>192</v>
      </c>
      <c r="D19" s="110">
        <v>5849</v>
      </c>
      <c r="E19" s="110" t="s">
        <v>215</v>
      </c>
      <c r="F19" s="110" t="s">
        <v>216</v>
      </c>
      <c r="G19" s="110" t="s">
        <v>195</v>
      </c>
      <c r="H19" s="110" t="s">
        <v>196</v>
      </c>
      <c r="I19" s="111">
        <v>747</v>
      </c>
      <c r="J19" s="111">
        <v>26205.09</v>
      </c>
    </row>
    <row r="20" spans="2:10" x14ac:dyDescent="0.25">
      <c r="B20" s="110" t="s">
        <v>217</v>
      </c>
      <c r="C20" s="110" t="s">
        <v>192</v>
      </c>
      <c r="D20" s="110"/>
      <c r="E20" s="110" t="s">
        <v>200</v>
      </c>
      <c r="F20" s="110" t="s">
        <v>201</v>
      </c>
      <c r="G20" s="110" t="s">
        <v>195</v>
      </c>
      <c r="H20" s="110" t="s">
        <v>202</v>
      </c>
      <c r="I20" s="111">
        <v>0</v>
      </c>
      <c r="J20" s="111">
        <v>26205.09</v>
      </c>
    </row>
    <row r="21" spans="2:10" x14ac:dyDescent="0.25">
      <c r="B21" s="110" t="s">
        <v>218</v>
      </c>
      <c r="C21" s="110" t="s">
        <v>192</v>
      </c>
      <c r="D21" s="110">
        <v>5857</v>
      </c>
      <c r="E21" s="110" t="s">
        <v>219</v>
      </c>
      <c r="F21" s="110" t="s">
        <v>220</v>
      </c>
      <c r="G21" s="110" t="s">
        <v>195</v>
      </c>
      <c r="H21" s="110" t="s">
        <v>196</v>
      </c>
      <c r="I21" s="111">
        <v>895</v>
      </c>
      <c r="J21" s="111">
        <v>27100.09</v>
      </c>
    </row>
    <row r="22" spans="2:10" x14ac:dyDescent="0.25">
      <c r="B22" s="110" t="s">
        <v>221</v>
      </c>
      <c r="C22" s="110" t="s">
        <v>192</v>
      </c>
      <c r="D22" s="110">
        <v>5894</v>
      </c>
      <c r="E22" s="110" t="s">
        <v>210</v>
      </c>
      <c r="F22" s="110" t="s">
        <v>222</v>
      </c>
      <c r="G22" s="110" t="s">
        <v>195</v>
      </c>
      <c r="H22" s="110" t="s">
        <v>196</v>
      </c>
      <c r="I22" s="111">
        <v>0</v>
      </c>
      <c r="J22" s="111">
        <v>27100.09</v>
      </c>
    </row>
    <row r="23" spans="2:10" x14ac:dyDescent="0.25">
      <c r="B23" s="110" t="s">
        <v>223</v>
      </c>
      <c r="C23" s="110" t="s">
        <v>192</v>
      </c>
      <c r="D23" s="110"/>
      <c r="E23" s="110" t="s">
        <v>200</v>
      </c>
      <c r="F23" s="110" t="s">
        <v>201</v>
      </c>
      <c r="G23" s="110" t="s">
        <v>195</v>
      </c>
      <c r="H23" s="110" t="s">
        <v>202</v>
      </c>
      <c r="I23" s="111">
        <v>1224.45</v>
      </c>
      <c r="J23" s="111">
        <v>28324.54</v>
      </c>
    </row>
    <row r="24" spans="2:10" x14ac:dyDescent="0.25">
      <c r="B24" s="110" t="s">
        <v>224</v>
      </c>
      <c r="C24" s="110" t="s">
        <v>192</v>
      </c>
      <c r="D24" s="110">
        <v>5924</v>
      </c>
      <c r="E24" s="110" t="s">
        <v>225</v>
      </c>
      <c r="F24" s="110" t="s">
        <v>226</v>
      </c>
      <c r="G24" s="110" t="s">
        <v>195</v>
      </c>
      <c r="H24" s="110" t="s">
        <v>196</v>
      </c>
      <c r="I24" s="111">
        <v>1512</v>
      </c>
      <c r="J24" s="111">
        <v>29836.54</v>
      </c>
    </row>
    <row r="25" spans="2:10" x14ac:dyDescent="0.25">
      <c r="B25" s="110" t="s">
        <v>227</v>
      </c>
      <c r="C25" s="110" t="s">
        <v>192</v>
      </c>
      <c r="D25" s="110">
        <v>5945</v>
      </c>
      <c r="E25" s="110" t="s">
        <v>210</v>
      </c>
      <c r="F25" s="110" t="s">
        <v>228</v>
      </c>
      <c r="G25" s="110" t="s">
        <v>195</v>
      </c>
      <c r="H25" s="110" t="s">
        <v>196</v>
      </c>
      <c r="I25" s="111">
        <v>0</v>
      </c>
      <c r="J25" s="111">
        <v>29836.54</v>
      </c>
    </row>
    <row r="26" spans="2:10" x14ac:dyDescent="0.25">
      <c r="B26" s="110" t="s">
        <v>229</v>
      </c>
      <c r="C26" s="110" t="s">
        <v>192</v>
      </c>
      <c r="D26" s="110">
        <v>5969</v>
      </c>
      <c r="E26" s="110" t="s">
        <v>210</v>
      </c>
      <c r="F26" s="110" t="s">
        <v>230</v>
      </c>
      <c r="G26" s="110" t="s">
        <v>195</v>
      </c>
      <c r="H26" s="110" t="s">
        <v>196</v>
      </c>
      <c r="I26" s="111">
        <v>120</v>
      </c>
      <c r="J26" s="111">
        <v>29956.54</v>
      </c>
    </row>
    <row r="27" spans="2:10" x14ac:dyDescent="0.25">
      <c r="B27" s="110" t="s">
        <v>231</v>
      </c>
      <c r="C27" s="110" t="s">
        <v>192</v>
      </c>
      <c r="D27" s="110"/>
      <c r="E27" s="110" t="s">
        <v>200</v>
      </c>
      <c r="F27" s="110" t="s">
        <v>232</v>
      </c>
      <c r="G27" s="110" t="s">
        <v>195</v>
      </c>
      <c r="H27" s="110" t="s">
        <v>202</v>
      </c>
      <c r="I27" s="111">
        <v>1236.45</v>
      </c>
      <c r="J27" s="111">
        <v>31192.99</v>
      </c>
    </row>
    <row r="28" spans="2:10" x14ac:dyDescent="0.25">
      <c r="B28" s="110" t="s">
        <v>233</v>
      </c>
      <c r="C28" s="110" t="s">
        <v>192</v>
      </c>
      <c r="D28" s="110">
        <v>6007</v>
      </c>
      <c r="E28" s="110" t="s">
        <v>234</v>
      </c>
      <c r="F28" s="110" t="s">
        <v>235</v>
      </c>
      <c r="G28" s="110" t="s">
        <v>195</v>
      </c>
      <c r="H28" s="110" t="s">
        <v>196</v>
      </c>
      <c r="I28" s="111">
        <v>295</v>
      </c>
      <c r="J28" s="111">
        <v>31487.99</v>
      </c>
    </row>
    <row r="29" spans="2:10" x14ac:dyDescent="0.25">
      <c r="B29" s="110" t="s">
        <v>236</v>
      </c>
      <c r="C29" s="110" t="s">
        <v>192</v>
      </c>
      <c r="D29" s="110">
        <v>6051</v>
      </c>
      <c r="E29" s="110" t="s">
        <v>210</v>
      </c>
      <c r="F29" s="110" t="s">
        <v>237</v>
      </c>
      <c r="G29" s="110" t="s">
        <v>195</v>
      </c>
      <c r="H29" s="110" t="s">
        <v>196</v>
      </c>
      <c r="I29" s="111">
        <v>120</v>
      </c>
      <c r="J29" s="111">
        <v>31607.99</v>
      </c>
    </row>
    <row r="30" spans="2:10" x14ac:dyDescent="0.25">
      <c r="B30" s="110" t="s">
        <v>238</v>
      </c>
      <c r="C30" s="110" t="s">
        <v>192</v>
      </c>
      <c r="D30" s="110"/>
      <c r="E30" s="110" t="s">
        <v>200</v>
      </c>
      <c r="F30" s="110" t="s">
        <v>239</v>
      </c>
      <c r="G30" s="110" t="s">
        <v>195</v>
      </c>
      <c r="H30" s="110" t="s">
        <v>202</v>
      </c>
      <c r="I30" s="111">
        <v>1224.45</v>
      </c>
      <c r="J30" s="111">
        <v>32832.44</v>
      </c>
    </row>
    <row r="31" spans="2:10" x14ac:dyDescent="0.25">
      <c r="B31" s="110" t="s">
        <v>240</v>
      </c>
      <c r="C31" s="110" t="s">
        <v>192</v>
      </c>
      <c r="D31" s="110">
        <v>6102</v>
      </c>
      <c r="E31" s="110" t="s">
        <v>210</v>
      </c>
      <c r="F31" s="110" t="s">
        <v>241</v>
      </c>
      <c r="G31" s="110" t="s">
        <v>195</v>
      </c>
      <c r="H31" s="110" t="s">
        <v>196</v>
      </c>
      <c r="I31" s="111">
        <v>120</v>
      </c>
      <c r="J31" s="111">
        <v>32952.44</v>
      </c>
    </row>
    <row r="32" spans="2:10" x14ac:dyDescent="0.25">
      <c r="B32" s="110" t="s">
        <v>242</v>
      </c>
      <c r="C32" s="110" t="s">
        <v>192</v>
      </c>
      <c r="D32" s="110"/>
      <c r="E32" s="110" t="s">
        <v>200</v>
      </c>
      <c r="F32" s="110" t="s">
        <v>243</v>
      </c>
      <c r="G32" s="110" t="s">
        <v>195</v>
      </c>
      <c r="H32" s="110" t="s">
        <v>202</v>
      </c>
      <c r="I32" s="111">
        <v>1224.45</v>
      </c>
      <c r="J32" s="111">
        <v>34176.89</v>
      </c>
    </row>
    <row r="33" spans="1:10" x14ac:dyDescent="0.25">
      <c r="B33" s="110" t="s">
        <v>244</v>
      </c>
      <c r="C33" s="110" t="s">
        <v>192</v>
      </c>
      <c r="D33" s="110">
        <v>6145</v>
      </c>
      <c r="E33" s="110" t="s">
        <v>210</v>
      </c>
      <c r="F33" s="110" t="s">
        <v>245</v>
      </c>
      <c r="G33" s="110" t="s">
        <v>195</v>
      </c>
      <c r="H33" s="110" t="s">
        <v>196</v>
      </c>
      <c r="I33" s="111">
        <v>120</v>
      </c>
      <c r="J33" s="111">
        <v>34296.89</v>
      </c>
    </row>
    <row r="34" spans="1:10" x14ac:dyDescent="0.25">
      <c r="B34" s="110" t="s">
        <v>246</v>
      </c>
      <c r="C34" s="110" t="s">
        <v>247</v>
      </c>
      <c r="D34" s="110"/>
      <c r="E34" s="110" t="s">
        <v>201</v>
      </c>
      <c r="F34" s="110"/>
      <c r="G34" s="110" t="s">
        <v>195</v>
      </c>
      <c r="H34" s="110" t="s">
        <v>248</v>
      </c>
      <c r="I34" s="111">
        <v>1224.45</v>
      </c>
      <c r="J34" s="111">
        <v>35521.339999999997</v>
      </c>
    </row>
    <row r="35" spans="1:10" x14ac:dyDescent="0.25">
      <c r="B35" s="110" t="s">
        <v>249</v>
      </c>
      <c r="C35" s="110" t="s">
        <v>247</v>
      </c>
      <c r="D35" s="110"/>
      <c r="E35" s="110" t="s">
        <v>201</v>
      </c>
      <c r="F35" s="110"/>
      <c r="G35" s="110" t="s">
        <v>195</v>
      </c>
      <c r="H35" s="110" t="s">
        <v>248</v>
      </c>
      <c r="I35" s="111">
        <v>1224.45</v>
      </c>
      <c r="J35" s="111">
        <v>36745.79</v>
      </c>
    </row>
    <row r="36" spans="1:10" x14ac:dyDescent="0.25">
      <c r="B36" s="110" t="s">
        <v>250</v>
      </c>
      <c r="C36" s="110" t="s">
        <v>192</v>
      </c>
      <c r="D36" s="110">
        <v>6218</v>
      </c>
      <c r="E36" s="110" t="s">
        <v>210</v>
      </c>
      <c r="F36" s="110" t="s">
        <v>251</v>
      </c>
      <c r="G36" s="110" t="s">
        <v>195</v>
      </c>
      <c r="H36" s="110" t="s">
        <v>196</v>
      </c>
      <c r="I36" s="111">
        <v>120</v>
      </c>
      <c r="J36" s="111">
        <v>36865.79</v>
      </c>
    </row>
    <row r="37" spans="1:10" x14ac:dyDescent="0.25">
      <c r="B37" s="110" t="s">
        <v>252</v>
      </c>
      <c r="C37" s="110" t="s">
        <v>247</v>
      </c>
      <c r="D37" s="110"/>
      <c r="E37" s="110" t="s">
        <v>201</v>
      </c>
      <c r="F37" s="110"/>
      <c r="G37" s="110" t="s">
        <v>195</v>
      </c>
      <c r="H37" s="110" t="s">
        <v>248</v>
      </c>
      <c r="I37" s="111">
        <v>1224.45</v>
      </c>
      <c r="J37" s="111">
        <v>38090.239999999998</v>
      </c>
    </row>
    <row r="38" spans="1:10" x14ac:dyDescent="0.25">
      <c r="B38" s="110" t="s">
        <v>253</v>
      </c>
      <c r="C38" s="110" t="s">
        <v>192</v>
      </c>
      <c r="D38" s="110">
        <v>6262</v>
      </c>
      <c r="E38" s="110" t="s">
        <v>210</v>
      </c>
      <c r="F38" s="110" t="s">
        <v>254</v>
      </c>
      <c r="G38" s="110" t="s">
        <v>195</v>
      </c>
      <c r="H38" s="110" t="s">
        <v>196</v>
      </c>
      <c r="I38" s="111">
        <v>120</v>
      </c>
      <c r="J38" s="111">
        <v>38210.239999999998</v>
      </c>
    </row>
    <row r="39" spans="1:10" x14ac:dyDescent="0.25">
      <c r="B39" s="110" t="s">
        <v>255</v>
      </c>
      <c r="C39" s="110" t="s">
        <v>192</v>
      </c>
      <c r="D39" s="110">
        <v>6266</v>
      </c>
      <c r="E39" s="110" t="s">
        <v>210</v>
      </c>
      <c r="F39" s="110" t="s">
        <v>256</v>
      </c>
      <c r="G39" s="110" t="s">
        <v>195</v>
      </c>
      <c r="H39" s="110" t="s">
        <v>196</v>
      </c>
      <c r="I39" s="111">
        <v>120</v>
      </c>
      <c r="J39" s="111">
        <v>38330.239999999998</v>
      </c>
    </row>
    <row r="40" spans="1:10" x14ac:dyDescent="0.25">
      <c r="B40" s="110" t="s">
        <v>255</v>
      </c>
      <c r="C40" s="110" t="s">
        <v>192</v>
      </c>
      <c r="D40" s="110">
        <v>6265</v>
      </c>
      <c r="E40" s="110" t="s">
        <v>210</v>
      </c>
      <c r="F40" s="110" t="s">
        <v>257</v>
      </c>
      <c r="G40" s="110" t="s">
        <v>195</v>
      </c>
      <c r="H40" s="110" t="s">
        <v>196</v>
      </c>
      <c r="I40" s="111">
        <v>120</v>
      </c>
      <c r="J40" s="111">
        <v>38450.239999999998</v>
      </c>
    </row>
    <row r="41" spans="1:10" x14ac:dyDescent="0.25">
      <c r="B41" s="110" t="s">
        <v>255</v>
      </c>
      <c r="C41" s="110" t="s">
        <v>192</v>
      </c>
      <c r="D41" s="110">
        <v>6267</v>
      </c>
      <c r="E41" s="110" t="s">
        <v>258</v>
      </c>
      <c r="F41" s="110" t="s">
        <v>259</v>
      </c>
      <c r="G41" s="110" t="s">
        <v>195</v>
      </c>
      <c r="H41" s="110" t="s">
        <v>196</v>
      </c>
      <c r="I41" s="111">
        <v>75.41</v>
      </c>
      <c r="J41" s="111">
        <v>38525.65</v>
      </c>
    </row>
    <row r="42" spans="1:10" x14ac:dyDescent="0.25">
      <c r="B42" s="110" t="s">
        <v>260</v>
      </c>
      <c r="C42" s="110" t="s">
        <v>247</v>
      </c>
      <c r="D42" s="110"/>
      <c r="E42" s="110" t="s">
        <v>201</v>
      </c>
      <c r="F42" s="110"/>
      <c r="G42" s="110" t="s">
        <v>195</v>
      </c>
      <c r="H42" s="110" t="s">
        <v>248</v>
      </c>
      <c r="I42" s="111">
        <v>1224.45</v>
      </c>
      <c r="J42" s="111">
        <v>39750.1</v>
      </c>
    </row>
    <row r="43" spans="1:10" x14ac:dyDescent="0.25">
      <c r="B43" s="110" t="s">
        <v>261</v>
      </c>
      <c r="C43" s="110" t="s">
        <v>192</v>
      </c>
      <c r="D43" s="110">
        <v>6337</v>
      </c>
      <c r="E43" s="110" t="s">
        <v>210</v>
      </c>
      <c r="F43" s="110" t="s">
        <v>262</v>
      </c>
      <c r="G43" s="110" t="s">
        <v>195</v>
      </c>
      <c r="H43" s="110" t="s">
        <v>196</v>
      </c>
      <c r="I43" s="111">
        <v>120</v>
      </c>
      <c r="J43" s="111">
        <v>39870.1</v>
      </c>
    </row>
    <row r="44" spans="1:10" x14ac:dyDescent="0.25">
      <c r="B44" s="110" t="s">
        <v>263</v>
      </c>
      <c r="C44" s="110" t="s">
        <v>247</v>
      </c>
      <c r="D44" s="110"/>
      <c r="E44" s="110" t="s">
        <v>201</v>
      </c>
      <c r="F44" s="110"/>
      <c r="G44" s="110" t="s">
        <v>195</v>
      </c>
      <c r="H44" s="110" t="s">
        <v>248</v>
      </c>
      <c r="I44" s="111">
        <v>1224.45</v>
      </c>
      <c r="J44" s="111">
        <v>41094.550000000003</v>
      </c>
    </row>
    <row r="45" spans="1:10" x14ac:dyDescent="0.25">
      <c r="B45" s="110" t="s">
        <v>264</v>
      </c>
      <c r="C45" s="110" t="s">
        <v>192</v>
      </c>
      <c r="D45" s="110">
        <v>6375</v>
      </c>
      <c r="E45" s="110" t="s">
        <v>210</v>
      </c>
      <c r="F45" s="110" t="s">
        <v>265</v>
      </c>
      <c r="G45" s="110" t="s">
        <v>195</v>
      </c>
      <c r="H45" s="110" t="s">
        <v>266</v>
      </c>
      <c r="I45" s="111">
        <v>120</v>
      </c>
      <c r="J45" s="111">
        <v>41214.550000000003</v>
      </c>
    </row>
    <row r="46" spans="1:10" x14ac:dyDescent="0.25">
      <c r="B46" s="110" t="s">
        <v>267</v>
      </c>
      <c r="C46" s="110" t="s">
        <v>268</v>
      </c>
      <c r="D46" s="110"/>
      <c r="E46" s="110" t="s">
        <v>210</v>
      </c>
      <c r="F46" s="110" t="s">
        <v>269</v>
      </c>
      <c r="G46" s="110" t="s">
        <v>195</v>
      </c>
      <c r="H46" s="110" t="s">
        <v>196</v>
      </c>
      <c r="I46" s="111">
        <v>120</v>
      </c>
      <c r="J46" s="111">
        <v>41334.550000000003</v>
      </c>
    </row>
    <row r="47" spans="1:10" x14ac:dyDescent="0.25">
      <c r="A47" s="109" t="s">
        <v>270</v>
      </c>
      <c r="I47" s="112">
        <v>41334.550000000003</v>
      </c>
    </row>
    <row r="48" spans="1:10" x14ac:dyDescent="0.25">
      <c r="A48" s="109" t="s">
        <v>271</v>
      </c>
      <c r="I48" s="112">
        <v>41334.550000000003</v>
      </c>
    </row>
    <row r="49" spans="1:10" x14ac:dyDescent="0.25">
      <c r="A49" s="109" t="s">
        <v>272</v>
      </c>
      <c r="I49" s="112">
        <v>41334.550000000003</v>
      </c>
    </row>
    <row r="50" spans="1:10" x14ac:dyDescent="0.25">
      <c r="A50" s="109" t="s">
        <v>273</v>
      </c>
      <c r="I50" s="112">
        <v>41334.550000000003</v>
      </c>
    </row>
    <row r="51" spans="1:10" x14ac:dyDescent="0.25">
      <c r="A51" s="109" t="s">
        <v>274</v>
      </c>
      <c r="I51" s="112">
        <v>41334.550000000003</v>
      </c>
    </row>
    <row r="54" spans="1:10" x14ac:dyDescent="0.25">
      <c r="A54" s="187" t="s">
        <v>275</v>
      </c>
      <c r="B54" s="185"/>
      <c r="C54" s="185"/>
      <c r="D54" s="185"/>
      <c r="E54" s="185"/>
      <c r="F54" s="185"/>
      <c r="G54" s="185"/>
      <c r="H54" s="185"/>
      <c r="I54" s="185"/>
      <c r="J54" s="185"/>
    </row>
    <row r="56" spans="1:10" x14ac:dyDescent="0.25">
      <c r="A56" s="109" t="s">
        <v>276</v>
      </c>
    </row>
    <row r="57" spans="1:10" x14ac:dyDescent="0.25">
      <c r="A57" s="109" t="s">
        <v>277</v>
      </c>
    </row>
    <row r="58" spans="1:10" x14ac:dyDescent="0.25">
      <c r="A58" s="109" t="s">
        <v>278</v>
      </c>
    </row>
    <row r="59" spans="1:10" x14ac:dyDescent="0.25">
      <c r="B59" s="110" t="s">
        <v>279</v>
      </c>
      <c r="C59" s="110" t="s">
        <v>268</v>
      </c>
      <c r="D59" s="110">
        <v>5830</v>
      </c>
      <c r="E59" s="110" t="s">
        <v>193</v>
      </c>
      <c r="F59" s="110" t="s">
        <v>280</v>
      </c>
      <c r="G59" s="110" t="s">
        <v>281</v>
      </c>
      <c r="H59" s="110" t="s">
        <v>196</v>
      </c>
      <c r="I59" s="111">
        <v>2907</v>
      </c>
      <c r="J59" s="111">
        <v>2907</v>
      </c>
    </row>
    <row r="60" spans="1:10" x14ac:dyDescent="0.25">
      <c r="B60" s="110" t="s">
        <v>282</v>
      </c>
      <c r="C60" s="110" t="s">
        <v>192</v>
      </c>
      <c r="D60" s="110">
        <v>5868</v>
      </c>
      <c r="E60" s="110" t="s">
        <v>193</v>
      </c>
      <c r="F60" s="110" t="s">
        <v>283</v>
      </c>
      <c r="G60" s="110" t="s">
        <v>281</v>
      </c>
      <c r="H60" s="110" t="s">
        <v>196</v>
      </c>
      <c r="I60" s="111">
        <v>2807</v>
      </c>
      <c r="J60" s="111">
        <v>5714</v>
      </c>
    </row>
    <row r="61" spans="1:10" x14ac:dyDescent="0.25">
      <c r="B61" s="110" t="s">
        <v>227</v>
      </c>
      <c r="C61" s="110" t="s">
        <v>192</v>
      </c>
      <c r="D61" s="110">
        <v>5949</v>
      </c>
      <c r="E61" s="110" t="s">
        <v>193</v>
      </c>
      <c r="F61" s="110" t="s">
        <v>284</v>
      </c>
      <c r="G61" s="110" t="s">
        <v>281</v>
      </c>
      <c r="H61" s="110" t="s">
        <v>196</v>
      </c>
      <c r="I61" s="111">
        <v>2807</v>
      </c>
      <c r="J61" s="111">
        <v>8521</v>
      </c>
    </row>
    <row r="62" spans="1:10" x14ac:dyDescent="0.25">
      <c r="B62" s="110" t="s">
        <v>233</v>
      </c>
      <c r="C62" s="110" t="s">
        <v>192</v>
      </c>
      <c r="D62" s="110">
        <v>6008</v>
      </c>
      <c r="E62" s="110" t="s">
        <v>193</v>
      </c>
      <c r="F62" s="110" t="s">
        <v>285</v>
      </c>
      <c r="G62" s="110" t="s">
        <v>281</v>
      </c>
      <c r="H62" s="110" t="s">
        <v>196</v>
      </c>
      <c r="I62" s="111">
        <v>2682</v>
      </c>
      <c r="J62" s="111">
        <v>11203</v>
      </c>
    </row>
    <row r="63" spans="1:10" x14ac:dyDescent="0.25">
      <c r="B63" s="110" t="s">
        <v>286</v>
      </c>
      <c r="C63" s="110" t="s">
        <v>192</v>
      </c>
      <c r="D63" s="110">
        <v>6076</v>
      </c>
      <c r="E63" s="110" t="s">
        <v>193</v>
      </c>
      <c r="F63" s="110" t="s">
        <v>287</v>
      </c>
      <c r="G63" s="110" t="s">
        <v>281</v>
      </c>
      <c r="H63" s="110" t="s">
        <v>196</v>
      </c>
      <c r="I63" s="111">
        <v>2607</v>
      </c>
      <c r="J63" s="111">
        <v>13810</v>
      </c>
    </row>
    <row r="64" spans="1:10" x14ac:dyDescent="0.25">
      <c r="B64" s="110" t="s">
        <v>288</v>
      </c>
      <c r="C64" s="110" t="s">
        <v>192</v>
      </c>
      <c r="D64" s="110">
        <v>6128</v>
      </c>
      <c r="E64" s="110" t="s">
        <v>193</v>
      </c>
      <c r="F64" s="110" t="s">
        <v>289</v>
      </c>
      <c r="G64" s="110" t="s">
        <v>281</v>
      </c>
      <c r="H64" s="110" t="s">
        <v>196</v>
      </c>
      <c r="I64" s="111">
        <v>2682</v>
      </c>
      <c r="J64" s="111">
        <v>16492</v>
      </c>
    </row>
    <row r="65" spans="1:10" x14ac:dyDescent="0.25">
      <c r="B65" s="110" t="s">
        <v>288</v>
      </c>
      <c r="C65" s="110" t="s">
        <v>192</v>
      </c>
      <c r="D65" s="110">
        <v>6131</v>
      </c>
      <c r="E65" s="110" t="s">
        <v>193</v>
      </c>
      <c r="F65" s="110" t="s">
        <v>290</v>
      </c>
      <c r="G65" s="110" t="s">
        <v>281</v>
      </c>
      <c r="H65" s="110" t="s">
        <v>196</v>
      </c>
      <c r="I65" s="111">
        <v>58.34</v>
      </c>
      <c r="J65" s="111">
        <v>16550.34</v>
      </c>
    </row>
    <row r="66" spans="1:10" x14ac:dyDescent="0.25">
      <c r="B66" s="110" t="s">
        <v>291</v>
      </c>
      <c r="C66" s="110" t="s">
        <v>192</v>
      </c>
      <c r="D66" s="110">
        <v>6180</v>
      </c>
      <c r="E66" s="110" t="s">
        <v>193</v>
      </c>
      <c r="F66" s="110" t="s">
        <v>292</v>
      </c>
      <c r="G66" s="110" t="s">
        <v>281</v>
      </c>
      <c r="H66" s="110" t="s">
        <v>196</v>
      </c>
      <c r="I66" s="111">
        <v>2757</v>
      </c>
      <c r="J66" s="111">
        <v>19307.34</v>
      </c>
    </row>
    <row r="67" spans="1:10" x14ac:dyDescent="0.25">
      <c r="B67" s="110" t="s">
        <v>291</v>
      </c>
      <c r="C67" s="110" t="s">
        <v>192</v>
      </c>
      <c r="D67" s="110">
        <v>6184</v>
      </c>
      <c r="E67" s="110" t="s">
        <v>193</v>
      </c>
      <c r="F67" s="110" t="s">
        <v>293</v>
      </c>
      <c r="G67" s="110" t="s">
        <v>281</v>
      </c>
      <c r="H67" s="110" t="s">
        <v>196</v>
      </c>
      <c r="I67" s="111">
        <v>108.32</v>
      </c>
      <c r="J67" s="111">
        <v>19415.66</v>
      </c>
    </row>
    <row r="68" spans="1:10" x14ac:dyDescent="0.25">
      <c r="B68" s="110" t="s">
        <v>252</v>
      </c>
      <c r="C68" s="110" t="s">
        <v>192</v>
      </c>
      <c r="D68" s="110">
        <v>6240</v>
      </c>
      <c r="E68" s="110" t="s">
        <v>193</v>
      </c>
      <c r="F68" s="110" t="s">
        <v>294</v>
      </c>
      <c r="G68" s="110" t="s">
        <v>281</v>
      </c>
      <c r="H68" s="110" t="s">
        <v>196</v>
      </c>
      <c r="I68" s="111">
        <v>2682</v>
      </c>
      <c r="J68" s="111">
        <v>22097.66</v>
      </c>
    </row>
    <row r="69" spans="1:10" ht="23.25" x14ac:dyDescent="0.25">
      <c r="B69" s="110" t="s">
        <v>253</v>
      </c>
      <c r="C69" s="110" t="s">
        <v>192</v>
      </c>
      <c r="D69" s="110">
        <v>6261</v>
      </c>
      <c r="E69" s="110" t="s">
        <v>295</v>
      </c>
      <c r="F69" s="110" t="s">
        <v>296</v>
      </c>
      <c r="G69" s="110" t="s">
        <v>281</v>
      </c>
      <c r="H69" s="110" t="s">
        <v>196</v>
      </c>
      <c r="I69" s="111">
        <v>460</v>
      </c>
      <c r="J69" s="111">
        <v>22557.66</v>
      </c>
    </row>
    <row r="70" spans="1:10" x14ac:dyDescent="0.25">
      <c r="B70" s="110" t="s">
        <v>297</v>
      </c>
      <c r="C70" s="110" t="s">
        <v>192</v>
      </c>
      <c r="D70" s="110">
        <v>6297</v>
      </c>
      <c r="E70" s="110" t="s">
        <v>193</v>
      </c>
      <c r="F70" s="110" t="s">
        <v>298</v>
      </c>
      <c r="G70" s="110" t="s">
        <v>281</v>
      </c>
      <c r="H70" s="110" t="s">
        <v>196</v>
      </c>
      <c r="I70" s="111">
        <v>3332</v>
      </c>
      <c r="J70" s="111">
        <v>25889.66</v>
      </c>
    </row>
    <row r="71" spans="1:10" x14ac:dyDescent="0.25">
      <c r="B71" s="110" t="s">
        <v>297</v>
      </c>
      <c r="C71" s="110" t="s">
        <v>192</v>
      </c>
      <c r="D71" s="110">
        <v>6298</v>
      </c>
      <c r="E71" s="110" t="s">
        <v>193</v>
      </c>
      <c r="F71" s="110" t="s">
        <v>299</v>
      </c>
      <c r="G71" s="110" t="s">
        <v>281</v>
      </c>
      <c r="H71" s="110" t="s">
        <v>196</v>
      </c>
      <c r="I71" s="111">
        <v>70.010000000000005</v>
      </c>
      <c r="J71" s="111">
        <v>25959.67</v>
      </c>
    </row>
    <row r="72" spans="1:10" x14ac:dyDescent="0.25">
      <c r="B72" s="110" t="s">
        <v>300</v>
      </c>
      <c r="C72" s="110" t="s">
        <v>192</v>
      </c>
      <c r="D72" s="110">
        <v>6356</v>
      </c>
      <c r="E72" s="110" t="s">
        <v>193</v>
      </c>
      <c r="F72" s="110" t="s">
        <v>301</v>
      </c>
      <c r="G72" s="110" t="s">
        <v>281</v>
      </c>
      <c r="H72" s="110" t="s">
        <v>196</v>
      </c>
      <c r="I72" s="111">
        <v>2957</v>
      </c>
      <c r="J72" s="111">
        <v>28916.67</v>
      </c>
    </row>
    <row r="73" spans="1:10" x14ac:dyDescent="0.25">
      <c r="B73" s="110" t="s">
        <v>300</v>
      </c>
      <c r="C73" s="110" t="s">
        <v>192</v>
      </c>
      <c r="D73" s="110">
        <v>6364</v>
      </c>
      <c r="E73" s="110" t="s">
        <v>193</v>
      </c>
      <c r="F73" s="110" t="s">
        <v>302</v>
      </c>
      <c r="G73" s="110" t="s">
        <v>281</v>
      </c>
      <c r="H73" s="110" t="s">
        <v>196</v>
      </c>
      <c r="I73" s="111">
        <v>565.01</v>
      </c>
      <c r="J73" s="111">
        <v>29481.68</v>
      </c>
    </row>
    <row r="74" spans="1:10" x14ac:dyDescent="0.25">
      <c r="B74" s="110" t="s">
        <v>267</v>
      </c>
      <c r="C74" s="110" t="s">
        <v>192</v>
      </c>
      <c r="D74" s="110">
        <v>6390</v>
      </c>
      <c r="E74" s="110" t="s">
        <v>193</v>
      </c>
      <c r="F74" s="110" t="s">
        <v>303</v>
      </c>
      <c r="G74" s="110" t="s">
        <v>281</v>
      </c>
      <c r="H74" s="110" t="s">
        <v>196</v>
      </c>
      <c r="I74" s="111">
        <v>307.48</v>
      </c>
      <c r="J74" s="111">
        <v>29789.16</v>
      </c>
    </row>
    <row r="75" spans="1:10" ht="23.25" x14ac:dyDescent="0.25">
      <c r="A75" s="109" t="s">
        <v>304</v>
      </c>
    </row>
    <row r="76" spans="1:10" x14ac:dyDescent="0.25">
      <c r="A76" s="109" t="s">
        <v>305</v>
      </c>
    </row>
    <row r="77" spans="1:10" x14ac:dyDescent="0.25">
      <c r="A77" s="109" t="s">
        <v>306</v>
      </c>
    </row>
    <row r="78" spans="1:10" x14ac:dyDescent="0.25">
      <c r="A78" s="109" t="s">
        <v>274</v>
      </c>
    </row>
    <row r="82" spans="1:4" x14ac:dyDescent="0.25">
      <c r="B82" s="117" t="s">
        <v>307</v>
      </c>
      <c r="C82" s="107" t="s">
        <v>308</v>
      </c>
    </row>
    <row r="83" spans="1:4" x14ac:dyDescent="0.25">
      <c r="A83" s="107" t="s">
        <v>309</v>
      </c>
      <c r="B83" s="116">
        <f>SUM(I10,I15,I59:I68,I70:I74)/11*12</f>
        <v>38365.265454545457</v>
      </c>
      <c r="C83" s="119">
        <v>40000</v>
      </c>
    </row>
    <row r="84" spans="1:4" x14ac:dyDescent="0.25">
      <c r="A84" s="107" t="s">
        <v>201</v>
      </c>
      <c r="B84" s="118">
        <f>SUM(I12:I13,I18,I20,I23,I27,I30,I32,I34:I35,I37,I42,I44)/11*12</f>
        <v>16238.618181818185</v>
      </c>
      <c r="C84" s="119">
        <f>2500*2+1800</f>
        <v>6800</v>
      </c>
      <c r="D84" s="107" t="s">
        <v>310</v>
      </c>
    </row>
    <row r="85" spans="1:4" x14ac:dyDescent="0.25">
      <c r="A85" s="107" t="s">
        <v>311</v>
      </c>
      <c r="B85" s="116">
        <f>SUM(I16,I22,I25,I26,I29)</f>
        <v>360</v>
      </c>
      <c r="C85" s="119">
        <f>B85</f>
        <v>360</v>
      </c>
    </row>
    <row r="86" spans="1:4" x14ac:dyDescent="0.25">
      <c r="A86" s="107" t="s">
        <v>312</v>
      </c>
      <c r="B86" s="116">
        <f>I69</f>
        <v>460</v>
      </c>
      <c r="C86" s="119">
        <f t="shared" ref="C86:C93" si="0">B86</f>
        <v>460</v>
      </c>
    </row>
    <row r="87" spans="1:4" x14ac:dyDescent="0.25">
      <c r="A87" s="107" t="s">
        <v>313</v>
      </c>
      <c r="B87" s="116">
        <f>I14+I28</f>
        <v>15210.86</v>
      </c>
      <c r="C87" s="119">
        <f t="shared" si="0"/>
        <v>15210.86</v>
      </c>
    </row>
    <row r="88" spans="1:4" x14ac:dyDescent="0.25">
      <c r="A88" s="107" t="s">
        <v>215</v>
      </c>
      <c r="B88" s="116">
        <f>I19</f>
        <v>747</v>
      </c>
      <c r="C88" s="119">
        <f t="shared" si="0"/>
        <v>747</v>
      </c>
    </row>
    <row r="89" spans="1:4" x14ac:dyDescent="0.25">
      <c r="A89" s="107" t="s">
        <v>197</v>
      </c>
      <c r="B89" s="116">
        <f>I11</f>
        <v>550</v>
      </c>
      <c r="C89" s="119">
        <f t="shared" si="0"/>
        <v>550</v>
      </c>
    </row>
    <row r="90" spans="1:4" x14ac:dyDescent="0.25">
      <c r="A90" s="107" t="s">
        <v>225</v>
      </c>
      <c r="B90" s="116">
        <f>I24</f>
        <v>1512</v>
      </c>
      <c r="C90" s="119">
        <f t="shared" si="0"/>
        <v>1512</v>
      </c>
    </row>
    <row r="91" spans="1:4" x14ac:dyDescent="0.25">
      <c r="A91" s="107" t="s">
        <v>219</v>
      </c>
      <c r="B91" s="116">
        <f>I21</f>
        <v>895</v>
      </c>
      <c r="C91" s="119">
        <f t="shared" si="0"/>
        <v>895</v>
      </c>
    </row>
    <row r="92" spans="1:4" x14ac:dyDescent="0.25">
      <c r="A92" s="107" t="s">
        <v>314</v>
      </c>
      <c r="B92" s="116">
        <f>I17</f>
        <v>179.88</v>
      </c>
      <c r="C92" s="119">
        <f t="shared" si="0"/>
        <v>179.88</v>
      </c>
    </row>
    <row r="93" spans="1:4" x14ac:dyDescent="0.25">
      <c r="A93" s="107" t="s">
        <v>315</v>
      </c>
      <c r="B93" s="116">
        <f>I41</f>
        <v>75.41</v>
      </c>
      <c r="C93" s="119">
        <f t="shared" si="0"/>
        <v>75.41</v>
      </c>
    </row>
  </sheetData>
  <mergeCells count="4">
    <mergeCell ref="A1:J1"/>
    <mergeCell ref="A2:J2"/>
    <mergeCell ref="A3:J3"/>
    <mergeCell ref="A54:J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D164-C365-45ED-8EC1-185C2BCB1094}">
  <dimension ref="A2:D29"/>
  <sheetViews>
    <sheetView workbookViewId="0">
      <selection activeCell="F10" sqref="F10"/>
    </sheetView>
  </sheetViews>
  <sheetFormatPr defaultRowHeight="15" x14ac:dyDescent="0.25"/>
  <sheetData>
    <row r="2" spans="1:4" ht="21" x14ac:dyDescent="0.35">
      <c r="A2" s="121" t="s">
        <v>384</v>
      </c>
      <c r="B2" s="121"/>
      <c r="C2" s="121"/>
      <c r="D2" s="121"/>
    </row>
    <row r="25" spans="1:1" ht="18.75" x14ac:dyDescent="0.3">
      <c r="A25" s="122"/>
    </row>
    <row r="29" spans="1:1" x14ac:dyDescent="0.25">
      <c r="A29" s="124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2E4A-A33B-4B2C-81EB-A679FD4B415F}">
  <sheetPr>
    <tabColor theme="5" tint="-0.249977111117893"/>
  </sheetPr>
  <dimension ref="A1:D11"/>
  <sheetViews>
    <sheetView workbookViewId="0">
      <selection activeCell="D36" sqref="D36"/>
    </sheetView>
  </sheetViews>
  <sheetFormatPr defaultRowHeight="15" x14ac:dyDescent="0.25"/>
  <cols>
    <col min="1" max="1" width="16.5703125" customWidth="1"/>
    <col min="2" max="2" width="16.5703125" hidden="1" customWidth="1"/>
    <col min="3" max="3" width="16.5703125" customWidth="1"/>
    <col min="4" max="4" width="22.28515625" customWidth="1"/>
  </cols>
  <sheetData>
    <row r="1" spans="1:4" ht="38.25" x14ac:dyDescent="0.25">
      <c r="A1" s="167" t="s">
        <v>47</v>
      </c>
      <c r="B1" s="167" t="s">
        <v>48</v>
      </c>
      <c r="C1" s="167" t="s">
        <v>49</v>
      </c>
      <c r="D1" s="168" t="s">
        <v>761</v>
      </c>
    </row>
    <row r="2" spans="1:4" x14ac:dyDescent="0.25">
      <c r="A2" s="169" t="s">
        <v>50</v>
      </c>
      <c r="B2" s="169"/>
      <c r="C2" s="169">
        <v>35</v>
      </c>
      <c r="D2" s="170"/>
    </row>
    <row r="3" spans="1:4" x14ac:dyDescent="0.25">
      <c r="A3" s="169">
        <v>1</v>
      </c>
      <c r="B3" s="169"/>
      <c r="C3" s="169">
        <v>35</v>
      </c>
      <c r="D3" s="170"/>
    </row>
    <row r="4" spans="1:4" x14ac:dyDescent="0.25">
      <c r="A4" s="169">
        <v>2</v>
      </c>
      <c r="B4" s="169"/>
      <c r="C4" s="169">
        <v>35</v>
      </c>
      <c r="D4" s="170"/>
    </row>
    <row r="5" spans="1:4" x14ac:dyDescent="0.25">
      <c r="A5" s="169">
        <v>3</v>
      </c>
      <c r="B5" s="169"/>
      <c r="C5" s="169">
        <v>35</v>
      </c>
      <c r="D5" s="170"/>
    </row>
    <row r="6" spans="1:4" x14ac:dyDescent="0.25">
      <c r="A6" s="169">
        <v>4</v>
      </c>
      <c r="B6" s="169"/>
      <c r="C6" s="169">
        <v>35</v>
      </c>
      <c r="D6" s="170"/>
    </row>
    <row r="7" spans="1:4" x14ac:dyDescent="0.25">
      <c r="A7" s="169">
        <v>5</v>
      </c>
      <c r="B7" s="169"/>
      <c r="C7" s="169">
        <v>30</v>
      </c>
      <c r="D7" s="170"/>
    </row>
    <row r="8" spans="1:4" x14ac:dyDescent="0.25">
      <c r="A8" s="169">
        <v>6</v>
      </c>
      <c r="B8" s="169"/>
      <c r="C8" s="169">
        <v>35</v>
      </c>
      <c r="D8" s="170"/>
    </row>
    <row r="9" spans="1:4" x14ac:dyDescent="0.25">
      <c r="A9" s="169">
        <v>7</v>
      </c>
      <c r="B9" s="169"/>
      <c r="C9" s="169">
        <v>34</v>
      </c>
      <c r="D9" s="170"/>
    </row>
    <row r="10" spans="1:4" x14ac:dyDescent="0.25">
      <c r="A10" s="169">
        <v>8</v>
      </c>
      <c r="B10" s="169"/>
      <c r="C10" s="169">
        <v>34</v>
      </c>
      <c r="D10" s="170"/>
    </row>
    <row r="11" spans="1:4" x14ac:dyDescent="0.25">
      <c r="A11" s="171" t="s">
        <v>51</v>
      </c>
      <c r="B11" s="171">
        <v>391</v>
      </c>
      <c r="C11" s="171">
        <f>SUM(C2:C10)</f>
        <v>308</v>
      </c>
      <c r="D11" s="1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3C54-A157-47FF-9CBF-01697E49BBB3}">
  <sheetPr>
    <tabColor theme="4" tint="0.39997558519241921"/>
  </sheetPr>
  <dimension ref="A1:N26"/>
  <sheetViews>
    <sheetView topLeftCell="A4" workbookViewId="0">
      <selection activeCell="C19" sqref="C19"/>
    </sheetView>
  </sheetViews>
  <sheetFormatPr defaultRowHeight="15" x14ac:dyDescent="0.25"/>
  <cols>
    <col min="1" max="1" width="48.7109375" customWidth="1"/>
    <col min="2" max="2" width="17.85546875" style="33" customWidth="1"/>
    <col min="3" max="3" width="18.7109375" style="33" customWidth="1"/>
    <col min="4" max="4" width="14.28515625" style="33" bestFit="1" customWidth="1"/>
    <col min="5" max="5" width="15.42578125" style="33" customWidth="1"/>
    <col min="6" max="6" width="14.28515625" style="33" bestFit="1" customWidth="1"/>
    <col min="7" max="14" width="9.140625" style="33"/>
  </cols>
  <sheetData>
    <row r="1" spans="1:14" x14ac:dyDescent="0.25">
      <c r="B1" s="33" t="s">
        <v>52</v>
      </c>
    </row>
    <row r="2" spans="1:14" x14ac:dyDescent="0.25">
      <c r="A2" t="s">
        <v>53</v>
      </c>
      <c r="B2" s="33">
        <f>B6</f>
        <v>3810862.8028080002</v>
      </c>
    </row>
    <row r="3" spans="1:14" x14ac:dyDescent="0.25">
      <c r="A3" t="s">
        <v>54</v>
      </c>
      <c r="B3" s="33">
        <f>B12</f>
        <v>1455702.13</v>
      </c>
    </row>
    <row r="4" spans="1:14" s="34" customFormat="1" x14ac:dyDescent="0.25">
      <c r="A4" s="34" t="s">
        <v>381</v>
      </c>
      <c r="B4" s="156">
        <f>SUM(B2:B3)</f>
        <v>5266564.9328080006</v>
      </c>
      <c r="C4" s="53"/>
      <c r="D4" s="53"/>
      <c r="E4" s="53" t="s">
        <v>39</v>
      </c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H5" s="62"/>
    </row>
    <row r="6" spans="1:14" x14ac:dyDescent="0.25">
      <c r="A6" s="34" t="s">
        <v>55</v>
      </c>
      <c r="B6" s="53">
        <f>SUM(B7:B9)</f>
        <v>3810862.8028080002</v>
      </c>
      <c r="C6" s="33" t="s">
        <v>56</v>
      </c>
      <c r="D6" s="33" t="s">
        <v>357</v>
      </c>
      <c r="H6" s="62" t="s">
        <v>39</v>
      </c>
    </row>
    <row r="7" spans="1:14" x14ac:dyDescent="0.25">
      <c r="A7" s="54" t="s">
        <v>57</v>
      </c>
      <c r="B7" s="33">
        <f>C7*E7</f>
        <v>3858124.8319999999</v>
      </c>
      <c r="C7" s="127">
        <v>336.8</v>
      </c>
      <c r="D7" s="55">
        <v>296</v>
      </c>
      <c r="E7" s="150">
        <v>11455.24</v>
      </c>
      <c r="F7" s="33" t="s">
        <v>763</v>
      </c>
    </row>
    <row r="8" spans="1:14" x14ac:dyDescent="0.25">
      <c r="A8" s="54" t="s">
        <v>58</v>
      </c>
      <c r="B8" s="33">
        <f>B7*I8</f>
        <v>-94524.058383999873</v>
      </c>
      <c r="C8" s="33" t="s">
        <v>355</v>
      </c>
      <c r="D8" s="55"/>
      <c r="F8" s="56"/>
      <c r="I8" s="65">
        <f>0.9755-1</f>
        <v>-2.4499999999999966E-2</v>
      </c>
    </row>
    <row r="9" spans="1:14" x14ac:dyDescent="0.25">
      <c r="A9" s="54" t="s">
        <v>59</v>
      </c>
      <c r="B9" s="33">
        <f>B8/2*-1</f>
        <v>47262.029191999936</v>
      </c>
      <c r="C9" s="33" t="s">
        <v>60</v>
      </c>
    </row>
    <row r="10" spans="1:14" x14ac:dyDescent="0.25">
      <c r="G10" s="62"/>
    </row>
    <row r="12" spans="1:14" s="34" customFormat="1" x14ac:dyDescent="0.25">
      <c r="A12" s="34" t="s">
        <v>61</v>
      </c>
      <c r="B12" s="53">
        <f>SUM(B13:B23)</f>
        <v>1455702.13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25">
      <c r="A13" s="54" t="s">
        <v>62</v>
      </c>
      <c r="B13" s="149">
        <v>66030</v>
      </c>
      <c r="C13" s="33" t="s">
        <v>63</v>
      </c>
      <c r="E13" s="64"/>
    </row>
    <row r="14" spans="1:14" x14ac:dyDescent="0.25">
      <c r="A14" s="54" t="s">
        <v>64</v>
      </c>
      <c r="B14" s="149">
        <v>9171</v>
      </c>
      <c r="C14" s="33" t="s">
        <v>63</v>
      </c>
    </row>
    <row r="15" spans="1:14" x14ac:dyDescent="0.25">
      <c r="A15" s="54" t="s">
        <v>65</v>
      </c>
      <c r="B15" s="149">
        <v>3987</v>
      </c>
      <c r="C15" s="33" t="s">
        <v>63</v>
      </c>
    </row>
    <row r="16" spans="1:14" x14ac:dyDescent="0.25">
      <c r="A16" s="54" t="s">
        <v>66</v>
      </c>
      <c r="B16" s="149">
        <v>13317</v>
      </c>
      <c r="C16" s="33" t="s">
        <v>63</v>
      </c>
    </row>
    <row r="17" spans="1:5" x14ac:dyDescent="0.25">
      <c r="A17" s="54" t="s">
        <v>371</v>
      </c>
      <c r="B17" s="149">
        <f>1005.5+78801</f>
        <v>79806.5</v>
      </c>
    </row>
    <row r="18" spans="1:5" x14ac:dyDescent="0.25">
      <c r="A18" s="54" t="s">
        <v>361</v>
      </c>
      <c r="B18" s="149">
        <v>1865.63</v>
      </c>
    </row>
    <row r="19" spans="1:5" x14ac:dyDescent="0.25">
      <c r="A19" s="54" t="s">
        <v>67</v>
      </c>
      <c r="B19" s="149">
        <v>50000</v>
      </c>
    </row>
    <row r="20" spans="1:5" x14ac:dyDescent="0.25">
      <c r="A20" s="54" t="s">
        <v>366</v>
      </c>
      <c r="B20" s="149">
        <v>23680</v>
      </c>
      <c r="C20" s="123">
        <v>80</v>
      </c>
    </row>
    <row r="21" spans="1:5" x14ac:dyDescent="0.25">
      <c r="A21" s="54" t="s">
        <v>68</v>
      </c>
      <c r="B21" s="149">
        <v>114460</v>
      </c>
      <c r="C21" s="123">
        <v>395</v>
      </c>
    </row>
    <row r="22" spans="1:5" x14ac:dyDescent="0.25">
      <c r="A22" s="54" t="s">
        <v>69</v>
      </c>
      <c r="B22" s="149">
        <v>1093385</v>
      </c>
      <c r="C22" s="33">
        <v>1175</v>
      </c>
      <c r="D22" s="33" t="s">
        <v>385</v>
      </c>
    </row>
    <row r="24" spans="1:5" x14ac:dyDescent="0.25">
      <c r="E24" s="33" t="s">
        <v>39</v>
      </c>
    </row>
    <row r="25" spans="1:5" x14ac:dyDescent="0.25">
      <c r="C25" s="33" t="s">
        <v>70</v>
      </c>
      <c r="D25" s="123">
        <v>360</v>
      </c>
      <c r="E25" s="33">
        <v>403</v>
      </c>
    </row>
    <row r="26" spans="1:5" x14ac:dyDescent="0.25">
      <c r="C26" s="33" t="s">
        <v>71</v>
      </c>
      <c r="D26" s="33">
        <v>1400</v>
      </c>
    </row>
  </sheetData>
  <phoneticPr fontId="11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012E-1233-41A0-8B2C-65F2F23C0636}">
  <sheetPr>
    <tabColor theme="4" tint="0.39997558519241921"/>
  </sheetPr>
  <dimension ref="A1:E10"/>
  <sheetViews>
    <sheetView zoomScale="110" zoomScaleNormal="110" workbookViewId="0">
      <selection activeCell="A18" sqref="A18"/>
    </sheetView>
  </sheetViews>
  <sheetFormatPr defaultRowHeight="12" x14ac:dyDescent="0.2"/>
  <cols>
    <col min="1" max="1" width="29.7109375" style="172" customWidth="1"/>
    <col min="2" max="2" width="15.5703125" style="177" customWidth="1"/>
    <col min="3" max="3" width="14.28515625" style="177" customWidth="1"/>
    <col min="4" max="4" width="34.140625" style="172" bestFit="1" customWidth="1"/>
    <col min="5" max="5" width="12.28515625" style="172" bestFit="1" customWidth="1"/>
    <col min="6" max="16384" width="9.140625" style="172"/>
  </cols>
  <sheetData>
    <row r="1" spans="1:5" x14ac:dyDescent="0.2">
      <c r="A1" s="172" t="s">
        <v>363</v>
      </c>
      <c r="B1" s="173" t="s">
        <v>52</v>
      </c>
      <c r="C1" s="173" t="s">
        <v>362</v>
      </c>
      <c r="D1" s="172" t="s">
        <v>364</v>
      </c>
    </row>
    <row r="2" spans="1:5" x14ac:dyDescent="0.2">
      <c r="A2" s="172" t="s">
        <v>72</v>
      </c>
      <c r="B2" s="174">
        <v>0</v>
      </c>
      <c r="C2" s="174"/>
      <c r="D2" s="172" t="s">
        <v>39</v>
      </c>
    </row>
    <row r="3" spans="1:5" x14ac:dyDescent="0.2">
      <c r="A3" s="172" t="s">
        <v>359</v>
      </c>
      <c r="B3" s="175">
        <v>68170</v>
      </c>
      <c r="C3" s="176">
        <v>4027</v>
      </c>
      <c r="D3" s="177" t="s">
        <v>764</v>
      </c>
    </row>
    <row r="4" spans="1:5" x14ac:dyDescent="0.2">
      <c r="A4" s="172" t="s">
        <v>367</v>
      </c>
      <c r="B4" s="175">
        <v>40700</v>
      </c>
      <c r="C4" s="176">
        <v>4010</v>
      </c>
      <c r="D4" s="177" t="s">
        <v>764</v>
      </c>
      <c r="E4" s="178"/>
    </row>
    <row r="5" spans="1:5" x14ac:dyDescent="0.2">
      <c r="A5" s="172" t="s">
        <v>360</v>
      </c>
      <c r="B5" s="175">
        <v>44545</v>
      </c>
      <c r="C5" s="176"/>
      <c r="D5" s="177" t="s">
        <v>764</v>
      </c>
      <c r="E5" s="178"/>
    </row>
    <row r="6" spans="1:5" x14ac:dyDescent="0.2">
      <c r="A6" s="172" t="s">
        <v>358</v>
      </c>
      <c r="B6" s="175">
        <v>518</v>
      </c>
      <c r="C6" s="176" t="s">
        <v>365</v>
      </c>
      <c r="D6" s="177" t="s">
        <v>764</v>
      </c>
      <c r="E6" s="178"/>
    </row>
    <row r="7" spans="1:5" x14ac:dyDescent="0.2">
      <c r="A7" s="172" t="s">
        <v>73</v>
      </c>
      <c r="B7" s="175">
        <v>2655</v>
      </c>
      <c r="C7" s="176">
        <v>4367</v>
      </c>
      <c r="D7" s="177" t="s">
        <v>764</v>
      </c>
      <c r="E7" s="178"/>
    </row>
    <row r="8" spans="1:5" x14ac:dyDescent="0.2">
      <c r="A8" s="172" t="s">
        <v>74</v>
      </c>
      <c r="B8" s="175">
        <v>2691</v>
      </c>
      <c r="C8" s="176">
        <v>4365</v>
      </c>
      <c r="D8" s="177" t="s">
        <v>764</v>
      </c>
      <c r="E8" s="178"/>
    </row>
    <row r="9" spans="1:5" x14ac:dyDescent="0.2">
      <c r="A9" s="179" t="s">
        <v>380</v>
      </c>
      <c r="B9" s="180">
        <f>SUM(B2:B8)</f>
        <v>159279</v>
      </c>
      <c r="C9" s="174"/>
    </row>
    <row r="10" spans="1:5" x14ac:dyDescent="0.2">
      <c r="C10" s="174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A00F-A831-411A-80AE-0300A82C3D21}">
  <dimension ref="A1:C6"/>
  <sheetViews>
    <sheetView workbookViewId="0">
      <selection activeCell="C25" sqref="C25"/>
    </sheetView>
  </sheetViews>
  <sheetFormatPr defaultRowHeight="15" x14ac:dyDescent="0.25"/>
  <cols>
    <col min="1" max="1" width="30.5703125" customWidth="1"/>
    <col min="2" max="2" width="14.42578125" style="33" customWidth="1"/>
    <col min="3" max="3" width="45.42578125" style="57" customWidth="1"/>
    <col min="5" max="5" width="19" bestFit="1" customWidth="1"/>
    <col min="6" max="6" width="19.85546875" bestFit="1" customWidth="1"/>
  </cols>
  <sheetData>
    <row r="1" spans="1:3" x14ac:dyDescent="0.25">
      <c r="A1" s="34" t="s">
        <v>4</v>
      </c>
    </row>
    <row r="2" spans="1:3" x14ac:dyDescent="0.25">
      <c r="B2" s="33" t="s">
        <v>52</v>
      </c>
      <c r="C2" s="57" t="s">
        <v>75</v>
      </c>
    </row>
    <row r="3" spans="1:3" x14ac:dyDescent="0.25">
      <c r="C3" s="57" t="s">
        <v>76</v>
      </c>
    </row>
    <row r="4" spans="1:3" x14ac:dyDescent="0.25">
      <c r="A4" t="s">
        <v>77</v>
      </c>
      <c r="B4" s="33" t="s">
        <v>39</v>
      </c>
      <c r="C4" s="57" t="s">
        <v>78</v>
      </c>
    </row>
    <row r="5" spans="1:3" x14ac:dyDescent="0.25">
      <c r="C5" s="57" t="s">
        <v>39</v>
      </c>
    </row>
    <row r="6" spans="1:3" ht="30" x14ac:dyDescent="0.25">
      <c r="C6" s="133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00CD-D0FF-4F17-A177-9452EECF7608}">
  <dimension ref="A1:M96"/>
  <sheetViews>
    <sheetView zoomScale="85" zoomScaleNormal="85" workbookViewId="0">
      <pane ySplit="1" topLeftCell="A2" activePane="bottomLeft" state="frozen"/>
      <selection pane="bottomLeft" activeCell="C46" sqref="C46"/>
    </sheetView>
  </sheetViews>
  <sheetFormatPr defaultRowHeight="15" x14ac:dyDescent="0.25"/>
  <cols>
    <col min="1" max="1" width="58" bestFit="1" customWidth="1"/>
    <col min="2" max="2" width="15" style="61" bestFit="1" customWidth="1"/>
    <col min="3" max="3" width="62.85546875" style="144" customWidth="1"/>
    <col min="4" max="4" width="12.5703125" style="33" hidden="1" customWidth="1"/>
    <col min="5" max="5" width="15.5703125" style="33" hidden="1" customWidth="1"/>
    <col min="6" max="6" width="18" style="33" hidden="1" customWidth="1"/>
    <col min="7" max="7" width="17.7109375" style="33" hidden="1" customWidth="1"/>
    <col min="8" max="8" width="24.5703125" bestFit="1" customWidth="1"/>
    <col min="10" max="10" width="11.5703125" style="58" bestFit="1" customWidth="1"/>
    <col min="11" max="11" width="27.42578125" customWidth="1"/>
  </cols>
  <sheetData>
    <row r="1" spans="1:13" s="90" customFormat="1" ht="45" x14ac:dyDescent="0.25">
      <c r="A1" s="92" t="s">
        <v>80</v>
      </c>
      <c r="B1" s="147" t="s">
        <v>317</v>
      </c>
      <c r="C1" s="146" t="s">
        <v>318</v>
      </c>
      <c r="D1" s="93" t="s">
        <v>81</v>
      </c>
      <c r="E1" s="93" t="s">
        <v>82</v>
      </c>
      <c r="F1" s="93" t="s">
        <v>83</v>
      </c>
      <c r="G1" s="93" t="s">
        <v>84</v>
      </c>
      <c r="J1" s="91"/>
    </row>
    <row r="2" spans="1:13" s="34" customFormat="1" x14ac:dyDescent="0.25">
      <c r="A2" s="94" t="s">
        <v>18</v>
      </c>
      <c r="B2" s="134">
        <f>SUM(B3:B11)</f>
        <v>214215</v>
      </c>
      <c r="C2" s="136"/>
      <c r="D2" s="96"/>
      <c r="E2" s="96"/>
      <c r="F2" s="96"/>
      <c r="G2" s="96"/>
      <c r="J2" s="60"/>
    </row>
    <row r="3" spans="1:13" x14ac:dyDescent="0.25">
      <c r="A3" s="97" t="s">
        <v>85</v>
      </c>
      <c r="B3" s="99">
        <v>10000</v>
      </c>
      <c r="C3" s="137" t="s">
        <v>350</v>
      </c>
      <c r="D3" s="98">
        <v>31351</v>
      </c>
      <c r="E3" s="98">
        <f>D3+25000</f>
        <v>56351</v>
      </c>
      <c r="F3" s="98">
        <v>6000</v>
      </c>
      <c r="G3" s="98">
        <f t="shared" ref="G3:G11" si="0">B3-F3</f>
        <v>4000</v>
      </c>
    </row>
    <row r="4" spans="1:13" hidden="1" x14ac:dyDescent="0.25">
      <c r="A4" s="97" t="s">
        <v>86</v>
      </c>
      <c r="B4" s="99">
        <v>0</v>
      </c>
      <c r="C4" s="137"/>
      <c r="D4" s="98">
        <v>0</v>
      </c>
      <c r="E4" s="98">
        <v>4500</v>
      </c>
      <c r="F4" s="98">
        <v>0</v>
      </c>
      <c r="G4" s="98">
        <f t="shared" si="0"/>
        <v>0</v>
      </c>
    </row>
    <row r="5" spans="1:13" x14ac:dyDescent="0.25">
      <c r="A5" s="97" t="s">
        <v>87</v>
      </c>
      <c r="B5" s="99">
        <v>54800</v>
      </c>
      <c r="C5" s="137" t="s">
        <v>319</v>
      </c>
      <c r="D5" s="98">
        <v>40444</v>
      </c>
      <c r="E5" s="98">
        <f>D5+5000+5000</f>
        <v>50444</v>
      </c>
      <c r="F5" s="98">
        <v>28000</v>
      </c>
      <c r="G5" s="98">
        <f t="shared" si="0"/>
        <v>26800</v>
      </c>
    </row>
    <row r="6" spans="1:13" x14ac:dyDescent="0.25">
      <c r="A6" s="97" t="s">
        <v>88</v>
      </c>
      <c r="B6" s="99">
        <v>43000</v>
      </c>
      <c r="C6" s="137" t="s">
        <v>349</v>
      </c>
      <c r="D6" s="98">
        <v>29789</v>
      </c>
      <c r="E6" s="98">
        <f>D6+3300*2</f>
        <v>36389</v>
      </c>
      <c r="F6" s="98">
        <v>38000</v>
      </c>
      <c r="G6" s="98">
        <f t="shared" si="0"/>
        <v>5000</v>
      </c>
    </row>
    <row r="7" spans="1:13" x14ac:dyDescent="0.25">
      <c r="A7" s="97" t="s">
        <v>89</v>
      </c>
      <c r="B7" s="99">
        <v>2415</v>
      </c>
      <c r="C7" s="138" t="s">
        <v>322</v>
      </c>
      <c r="D7" s="98">
        <v>10</v>
      </c>
      <c r="E7" s="98">
        <v>2400</v>
      </c>
      <c r="F7" s="98">
        <v>2400</v>
      </c>
      <c r="G7" s="98">
        <f t="shared" si="0"/>
        <v>15</v>
      </c>
    </row>
    <row r="8" spans="1:13" x14ac:dyDescent="0.25">
      <c r="A8" s="97" t="s">
        <v>90</v>
      </c>
      <c r="B8" s="99">
        <v>12000</v>
      </c>
      <c r="C8" s="138" t="s">
        <v>320</v>
      </c>
      <c r="D8" s="98">
        <v>8150</v>
      </c>
      <c r="E8" s="98">
        <f>D8</f>
        <v>8150</v>
      </c>
      <c r="F8" s="98">
        <v>5500</v>
      </c>
      <c r="G8" s="98">
        <f t="shared" si="0"/>
        <v>6500</v>
      </c>
    </row>
    <row r="9" spans="1:13" x14ac:dyDescent="0.25">
      <c r="A9" s="97" t="s">
        <v>91</v>
      </c>
      <c r="B9" s="99">
        <v>80000</v>
      </c>
      <c r="C9" s="138" t="s">
        <v>351</v>
      </c>
      <c r="D9" s="100">
        <v>50086</v>
      </c>
      <c r="E9" s="100">
        <f>D9+8000</f>
        <v>58086</v>
      </c>
      <c r="F9" s="100">
        <v>74000</v>
      </c>
      <c r="G9" s="98">
        <f t="shared" si="0"/>
        <v>6000</v>
      </c>
      <c r="H9" s="88" t="s">
        <v>79</v>
      </c>
      <c r="I9" s="66" t="s">
        <v>92</v>
      </c>
      <c r="J9" s="66"/>
      <c r="K9" s="89">
        <f>1500*12</f>
        <v>18000</v>
      </c>
      <c r="L9" s="66" t="s">
        <v>93</v>
      </c>
      <c r="M9" s="66"/>
    </row>
    <row r="10" spans="1:13" x14ac:dyDescent="0.25">
      <c r="A10" s="97" t="s">
        <v>94</v>
      </c>
      <c r="B10" s="99">
        <v>2000</v>
      </c>
      <c r="C10" s="138" t="s">
        <v>320</v>
      </c>
      <c r="D10" s="100">
        <v>1030</v>
      </c>
      <c r="E10" s="100">
        <f>D10+500</f>
        <v>1530</v>
      </c>
      <c r="F10" s="100">
        <v>1500</v>
      </c>
      <c r="G10" s="98">
        <f t="shared" si="0"/>
        <v>500</v>
      </c>
      <c r="H10" s="88" t="s">
        <v>95</v>
      </c>
      <c r="I10" s="66" t="s">
        <v>92</v>
      </c>
      <c r="J10" s="66"/>
      <c r="K10" s="89">
        <v>5953.2</v>
      </c>
      <c r="L10" s="66"/>
      <c r="M10" s="66"/>
    </row>
    <row r="11" spans="1:13" x14ac:dyDescent="0.25">
      <c r="A11" s="97" t="s">
        <v>96</v>
      </c>
      <c r="B11" s="99">
        <v>10000</v>
      </c>
      <c r="C11" s="138"/>
      <c r="D11" s="100">
        <v>14918</v>
      </c>
      <c r="E11" s="100">
        <f>D11+2000</f>
        <v>16918</v>
      </c>
      <c r="F11" s="100">
        <v>0</v>
      </c>
      <c r="G11" s="98">
        <f t="shared" si="0"/>
        <v>10000</v>
      </c>
      <c r="H11" s="88" t="s">
        <v>97</v>
      </c>
      <c r="I11" s="66" t="s">
        <v>92</v>
      </c>
      <c r="J11" s="66"/>
      <c r="K11" s="89">
        <v>41338.44</v>
      </c>
      <c r="L11" s="66"/>
      <c r="M11" s="66"/>
    </row>
    <row r="12" spans="1:13" x14ac:dyDescent="0.25">
      <c r="A12" s="97"/>
      <c r="B12" s="99"/>
      <c r="C12" s="138"/>
      <c r="D12" s="98"/>
      <c r="E12" s="98"/>
      <c r="F12" s="98"/>
      <c r="G12" s="98"/>
      <c r="H12" s="88" t="s">
        <v>98</v>
      </c>
      <c r="I12" s="66"/>
      <c r="J12" s="66"/>
      <c r="K12" s="89">
        <v>6840</v>
      </c>
      <c r="L12" s="66"/>
      <c r="M12" s="66"/>
    </row>
    <row r="13" spans="1:13" x14ac:dyDescent="0.25">
      <c r="A13" s="94" t="s">
        <v>99</v>
      </c>
      <c r="B13" s="145">
        <f>SUM(B14:B26)</f>
        <v>380718.97496000002</v>
      </c>
      <c r="C13" s="139"/>
      <c r="D13" s="96"/>
      <c r="E13" s="96"/>
      <c r="F13" s="96"/>
      <c r="G13" s="96"/>
    </row>
    <row r="14" spans="1:13" s="34" customFormat="1" x14ac:dyDescent="0.25">
      <c r="A14" s="97" t="s">
        <v>100</v>
      </c>
      <c r="B14" s="99">
        <f>'State Sources'!B7*0.03</f>
        <v>115743.74496</v>
      </c>
      <c r="C14" s="138" t="s">
        <v>321</v>
      </c>
      <c r="D14" s="98"/>
      <c r="E14" s="98"/>
      <c r="F14" s="98"/>
      <c r="G14" s="98"/>
      <c r="J14" s="60"/>
    </row>
    <row r="15" spans="1:13" x14ac:dyDescent="0.25">
      <c r="A15" s="97" t="s">
        <v>101</v>
      </c>
      <c r="B15" s="99">
        <v>9175.23</v>
      </c>
      <c r="C15" s="138" t="s">
        <v>356</v>
      </c>
      <c r="D15" s="98"/>
      <c r="E15" s="98"/>
      <c r="F15" s="98"/>
      <c r="G15" s="98"/>
    </row>
    <row r="16" spans="1:13" x14ac:dyDescent="0.25">
      <c r="A16" s="97" t="s">
        <v>102</v>
      </c>
      <c r="B16" s="99">
        <v>4500</v>
      </c>
      <c r="C16" s="138" t="s">
        <v>327</v>
      </c>
      <c r="D16" s="98">
        <v>2895</v>
      </c>
      <c r="E16" s="98">
        <f>D16+400</f>
        <v>3295</v>
      </c>
      <c r="F16" s="98">
        <v>0</v>
      </c>
      <c r="G16" s="98">
        <f t="shared" ref="G16:G26" si="1">B16-F16</f>
        <v>4500</v>
      </c>
    </row>
    <row r="17" spans="1:11" x14ac:dyDescent="0.25">
      <c r="A17" s="97" t="s">
        <v>103</v>
      </c>
      <c r="B17" s="99">
        <v>63000</v>
      </c>
      <c r="C17" s="138" t="s">
        <v>324</v>
      </c>
      <c r="D17" s="100">
        <v>41334</v>
      </c>
      <c r="E17" s="100">
        <f>D17+2000</f>
        <v>43334</v>
      </c>
      <c r="F17" s="100">
        <v>21876</v>
      </c>
      <c r="G17" s="100">
        <f t="shared" si="1"/>
        <v>41124</v>
      </c>
    </row>
    <row r="18" spans="1:11" hidden="1" x14ac:dyDescent="0.25">
      <c r="A18" s="97" t="s">
        <v>104</v>
      </c>
      <c r="B18" s="99">
        <v>0</v>
      </c>
      <c r="C18" s="138"/>
      <c r="D18" s="98">
        <v>0</v>
      </c>
      <c r="E18" s="98">
        <v>0</v>
      </c>
      <c r="F18" s="98"/>
      <c r="G18" s="98">
        <f t="shared" si="1"/>
        <v>0</v>
      </c>
      <c r="J18" s="61"/>
    </row>
    <row r="19" spans="1:11" hidden="1" x14ac:dyDescent="0.25">
      <c r="A19" s="97" t="s">
        <v>105</v>
      </c>
      <c r="B19" s="99">
        <v>0</v>
      </c>
      <c r="C19" s="138"/>
      <c r="D19" s="98">
        <v>0</v>
      </c>
      <c r="E19" s="98">
        <v>0</v>
      </c>
      <c r="F19" s="98"/>
      <c r="G19" s="98">
        <f t="shared" si="1"/>
        <v>0</v>
      </c>
    </row>
    <row r="20" spans="1:11" x14ac:dyDescent="0.25">
      <c r="A20" s="97" t="s">
        <v>106</v>
      </c>
      <c r="B20" s="99">
        <v>10000</v>
      </c>
      <c r="C20" s="138" t="s">
        <v>107</v>
      </c>
      <c r="D20" s="98">
        <v>0</v>
      </c>
      <c r="E20" s="98">
        <v>0</v>
      </c>
      <c r="F20" s="98">
        <v>32000</v>
      </c>
      <c r="G20" s="98">
        <f t="shared" si="1"/>
        <v>-22000</v>
      </c>
    </row>
    <row r="21" spans="1:11" x14ac:dyDescent="0.25">
      <c r="A21" s="97" t="s">
        <v>108</v>
      </c>
      <c r="B21" s="99">
        <v>110000</v>
      </c>
      <c r="C21" s="138" t="s">
        <v>329</v>
      </c>
      <c r="D21" s="98">
        <f>76509.52+8900</f>
        <v>85409.52</v>
      </c>
      <c r="E21" s="98">
        <f>D21+9500</f>
        <v>94909.52</v>
      </c>
      <c r="F21" s="98">
        <v>100000</v>
      </c>
      <c r="G21" s="98">
        <f t="shared" si="1"/>
        <v>10000</v>
      </c>
    </row>
    <row r="22" spans="1:11" x14ac:dyDescent="0.25">
      <c r="A22" s="97" t="s">
        <v>109</v>
      </c>
      <c r="B22" s="99">
        <v>10000</v>
      </c>
      <c r="C22" s="140">
        <v>13000</v>
      </c>
      <c r="D22" s="98">
        <v>9032</v>
      </c>
      <c r="E22" s="98">
        <f>D22</f>
        <v>9032</v>
      </c>
      <c r="F22" s="98">
        <v>8000</v>
      </c>
      <c r="G22" s="98">
        <f t="shared" si="1"/>
        <v>2000</v>
      </c>
    </row>
    <row r="23" spans="1:11" x14ac:dyDescent="0.25">
      <c r="A23" s="97" t="s">
        <v>110</v>
      </c>
      <c r="B23" s="99">
        <v>8000</v>
      </c>
      <c r="C23" s="141" t="s">
        <v>331</v>
      </c>
      <c r="D23" s="98">
        <v>7283</v>
      </c>
      <c r="E23" s="98">
        <f>D23+2000</f>
        <v>9283</v>
      </c>
      <c r="F23" s="98">
        <v>10000</v>
      </c>
      <c r="G23" s="98">
        <f t="shared" si="1"/>
        <v>-2000</v>
      </c>
    </row>
    <row r="24" spans="1:11" x14ac:dyDescent="0.25">
      <c r="A24" s="97" t="s">
        <v>111</v>
      </c>
      <c r="B24" s="99">
        <v>7800</v>
      </c>
      <c r="C24" s="138" t="s">
        <v>330</v>
      </c>
      <c r="D24" s="98">
        <v>420</v>
      </c>
      <c r="E24" s="98">
        <f>D24</f>
        <v>420</v>
      </c>
      <c r="F24" s="98">
        <v>500</v>
      </c>
      <c r="G24" s="98">
        <f t="shared" si="1"/>
        <v>7300</v>
      </c>
    </row>
    <row r="25" spans="1:11" x14ac:dyDescent="0.25">
      <c r="A25" s="97" t="s">
        <v>112</v>
      </c>
      <c r="B25" s="99">
        <v>2500</v>
      </c>
      <c r="C25" s="138" t="s">
        <v>330</v>
      </c>
      <c r="D25" s="98">
        <v>2200</v>
      </c>
      <c r="E25" s="98">
        <f>D25+175</f>
        <v>2375</v>
      </c>
      <c r="F25" s="98">
        <v>2720</v>
      </c>
      <c r="G25" s="98">
        <f t="shared" si="1"/>
        <v>-220</v>
      </c>
    </row>
    <row r="26" spans="1:11" x14ac:dyDescent="0.25">
      <c r="A26" s="97" t="s">
        <v>113</v>
      </c>
      <c r="B26" s="99">
        <v>40000</v>
      </c>
      <c r="C26" s="138" t="s">
        <v>354</v>
      </c>
      <c r="D26" s="98">
        <v>0</v>
      </c>
      <c r="E26" s="98">
        <v>0</v>
      </c>
      <c r="F26" s="98">
        <v>2500</v>
      </c>
      <c r="G26" s="98">
        <f t="shared" si="1"/>
        <v>37500</v>
      </c>
    </row>
    <row r="27" spans="1:11" x14ac:dyDescent="0.25">
      <c r="A27" s="97"/>
      <c r="B27" s="99"/>
      <c r="C27" s="138"/>
      <c r="D27" s="98"/>
      <c r="E27" s="98"/>
      <c r="F27" s="98"/>
      <c r="G27" s="98"/>
      <c r="K27" s="67"/>
    </row>
    <row r="28" spans="1:11" x14ac:dyDescent="0.25">
      <c r="A28" s="97"/>
      <c r="B28" s="99"/>
      <c r="C28" s="138"/>
      <c r="D28" s="98"/>
      <c r="E28" s="98"/>
      <c r="F28" s="98"/>
      <c r="G28" s="98"/>
    </row>
    <row r="29" spans="1:11" x14ac:dyDescent="0.25">
      <c r="A29" s="94" t="s">
        <v>20</v>
      </c>
      <c r="B29" s="145">
        <f>SUM(B30:B31)</f>
        <v>100000</v>
      </c>
      <c r="C29" s="139"/>
      <c r="D29" s="95">
        <f>SUM(D30:D31)</f>
        <v>91386.22</v>
      </c>
      <c r="E29" s="95">
        <f>SUM(E30:E31)</f>
        <v>102886.22</v>
      </c>
      <c r="F29" s="95">
        <f>SUM(F30:F31)</f>
        <v>65500</v>
      </c>
      <c r="G29" s="98">
        <f>B29-F29</f>
        <v>34500</v>
      </c>
    </row>
    <row r="30" spans="1:11" s="34" customFormat="1" x14ac:dyDescent="0.25">
      <c r="A30" s="97" t="s">
        <v>20</v>
      </c>
      <c r="B30" s="99">
        <v>90000</v>
      </c>
      <c r="C30" s="138" t="s">
        <v>333</v>
      </c>
      <c r="D30" s="98">
        <v>80924.52</v>
      </c>
      <c r="E30" s="98">
        <f>D30+10000</f>
        <v>90924.52</v>
      </c>
      <c r="F30" s="98">
        <v>59000</v>
      </c>
      <c r="G30" s="98">
        <f>B30-F30</f>
        <v>31000</v>
      </c>
      <c r="J30" s="60"/>
    </row>
    <row r="31" spans="1:11" x14ac:dyDescent="0.25">
      <c r="A31" s="97" t="s">
        <v>114</v>
      </c>
      <c r="B31" s="99">
        <v>10000</v>
      </c>
      <c r="C31" s="138" t="s">
        <v>332</v>
      </c>
      <c r="D31" s="98">
        <v>10461.700000000001</v>
      </c>
      <c r="E31" s="98">
        <f>D31+1500</f>
        <v>11961.7</v>
      </c>
      <c r="F31" s="98">
        <v>6500</v>
      </c>
      <c r="G31" s="98">
        <f>B31-F31</f>
        <v>3500</v>
      </c>
    </row>
    <row r="32" spans="1:11" x14ac:dyDescent="0.25">
      <c r="A32" s="97"/>
      <c r="B32" s="99"/>
      <c r="C32" s="138"/>
      <c r="D32" s="98"/>
      <c r="E32" s="98"/>
      <c r="F32" s="98"/>
      <c r="G32" s="98"/>
    </row>
    <row r="33" spans="1:10" x14ac:dyDescent="0.25">
      <c r="A33" s="94" t="s">
        <v>21</v>
      </c>
      <c r="B33" s="145">
        <f>SUM(B34:B37)</f>
        <v>29400</v>
      </c>
      <c r="C33" s="139"/>
      <c r="D33" s="95">
        <f>SUM(D34:D37)</f>
        <v>14791</v>
      </c>
      <c r="E33" s="95">
        <f>SUM(E34:E37)</f>
        <v>16991</v>
      </c>
      <c r="F33" s="95">
        <f>SUM(F34:F37)</f>
        <v>0</v>
      </c>
      <c r="G33" s="95">
        <f>SUM(G34:G37)</f>
        <v>29400</v>
      </c>
    </row>
    <row r="34" spans="1:10" s="34" customFormat="1" x14ac:dyDescent="0.25">
      <c r="A34" s="97" t="s">
        <v>115</v>
      </c>
      <c r="B34" s="99">
        <v>28400</v>
      </c>
      <c r="C34" s="142" t="s">
        <v>348</v>
      </c>
      <c r="D34" s="98">
        <v>13340</v>
      </c>
      <c r="E34" s="98">
        <f>D34+1600</f>
        <v>14940</v>
      </c>
      <c r="F34" s="98"/>
      <c r="G34" s="98">
        <f>B34-F34</f>
        <v>28400</v>
      </c>
      <c r="J34" s="60"/>
    </row>
    <row r="35" spans="1:10" x14ac:dyDescent="0.25">
      <c r="A35" s="97" t="s">
        <v>116</v>
      </c>
      <c r="B35" s="99">
        <v>1000</v>
      </c>
      <c r="C35" s="138" t="s">
        <v>323</v>
      </c>
      <c r="D35" s="98">
        <v>1451</v>
      </c>
      <c r="E35" s="98">
        <f>D35+600</f>
        <v>2051</v>
      </c>
      <c r="F35" s="98"/>
      <c r="G35" s="98">
        <f>B35-F35</f>
        <v>1000</v>
      </c>
    </row>
    <row r="36" spans="1:10" x14ac:dyDescent="0.25">
      <c r="A36" s="97"/>
      <c r="B36" s="99"/>
      <c r="C36" s="138"/>
      <c r="D36" s="98"/>
      <c r="E36" s="98"/>
      <c r="F36" s="98"/>
      <c r="G36" s="98"/>
    </row>
    <row r="37" spans="1:10" x14ac:dyDescent="0.25">
      <c r="A37" s="97"/>
      <c r="B37" s="99"/>
      <c r="C37" s="138"/>
      <c r="D37" s="98"/>
      <c r="E37" s="98"/>
      <c r="F37" s="98"/>
      <c r="G37" s="98"/>
    </row>
    <row r="38" spans="1:10" x14ac:dyDescent="0.25">
      <c r="A38" s="97"/>
      <c r="B38" s="99"/>
      <c r="C38" s="138"/>
      <c r="D38" s="98"/>
      <c r="E38" s="98"/>
      <c r="F38" s="98"/>
      <c r="G38" s="98"/>
    </row>
    <row r="39" spans="1:10" x14ac:dyDescent="0.25">
      <c r="A39" s="94" t="s">
        <v>22</v>
      </c>
      <c r="B39" s="145">
        <v>35000</v>
      </c>
      <c r="C39" s="138" t="s">
        <v>326</v>
      </c>
      <c r="D39" s="96">
        <v>31762</v>
      </c>
      <c r="E39" s="96">
        <f>D39+3000</f>
        <v>34762</v>
      </c>
      <c r="F39" s="96"/>
      <c r="G39" s="98">
        <f>B39-F39</f>
        <v>35000</v>
      </c>
    </row>
    <row r="40" spans="1:10" s="34" customFormat="1" x14ac:dyDescent="0.25">
      <c r="A40" s="94"/>
      <c r="B40" s="134"/>
      <c r="C40" s="138"/>
      <c r="D40" s="96"/>
      <c r="E40" s="96"/>
      <c r="F40" s="96"/>
      <c r="G40" s="96"/>
      <c r="J40" s="60"/>
    </row>
    <row r="41" spans="1:10" s="34" customFormat="1" x14ac:dyDescent="0.25">
      <c r="A41" s="94" t="s">
        <v>23</v>
      </c>
      <c r="B41" s="145">
        <v>60000</v>
      </c>
      <c r="C41" s="138" t="s">
        <v>335</v>
      </c>
      <c r="D41" s="96">
        <v>47696</v>
      </c>
      <c r="E41" s="96">
        <f>D41+2000</f>
        <v>49696</v>
      </c>
      <c r="F41" s="96"/>
      <c r="G41" s="98">
        <f>B41-F41</f>
        <v>60000</v>
      </c>
      <c r="J41" s="60"/>
    </row>
    <row r="42" spans="1:10" s="34" customFormat="1" x14ac:dyDescent="0.25">
      <c r="A42" s="94"/>
      <c r="B42" s="134"/>
      <c r="C42" s="138"/>
      <c r="D42" s="96"/>
      <c r="E42" s="96"/>
      <c r="F42" s="96"/>
      <c r="G42" s="96"/>
      <c r="J42" s="60"/>
    </row>
    <row r="43" spans="1:10" s="34" customFormat="1" x14ac:dyDescent="0.25">
      <c r="A43" s="94" t="s">
        <v>24</v>
      </c>
      <c r="B43" s="145">
        <f>SUM(B44:B69)</f>
        <v>345650</v>
      </c>
      <c r="C43" s="139"/>
      <c r="D43" s="95">
        <f>SUM(D44:D69)</f>
        <v>213082.46</v>
      </c>
      <c r="E43" s="95">
        <f>SUM(E44:E69)</f>
        <v>240929.05999999997</v>
      </c>
      <c r="F43" s="95" t="e">
        <f>SUM(F44:F69)</f>
        <v>#VALUE!</v>
      </c>
      <c r="G43" s="95" t="e">
        <f>SUM(G44:G69)</f>
        <v>#VALUE!</v>
      </c>
      <c r="J43" s="60"/>
    </row>
    <row r="44" spans="1:10" s="34" customFormat="1" x14ac:dyDescent="0.25">
      <c r="A44" s="97" t="s">
        <v>117</v>
      </c>
      <c r="B44" s="99">
        <v>8000</v>
      </c>
      <c r="C44" s="138" t="s">
        <v>325</v>
      </c>
      <c r="D44" s="98">
        <v>3321.54</v>
      </c>
      <c r="E44" s="98">
        <f>D44+1000</f>
        <v>4321.54</v>
      </c>
      <c r="F44" s="98"/>
      <c r="G44" s="98">
        <f>B44-F44</f>
        <v>8000</v>
      </c>
      <c r="J44" s="60"/>
    </row>
    <row r="45" spans="1:10" x14ac:dyDescent="0.25">
      <c r="A45" s="97" t="s">
        <v>118</v>
      </c>
      <c r="B45" s="99">
        <v>150000</v>
      </c>
      <c r="C45" s="138" t="s">
        <v>334</v>
      </c>
      <c r="D45" s="98">
        <v>31505.26</v>
      </c>
      <c r="E45" s="98">
        <f>D45+2000</f>
        <v>33505.259999999995</v>
      </c>
      <c r="F45" s="98"/>
      <c r="G45" s="98">
        <f>B45-F45</f>
        <v>150000</v>
      </c>
    </row>
    <row r="46" spans="1:10" x14ac:dyDescent="0.25">
      <c r="A46" s="97" t="s">
        <v>119</v>
      </c>
      <c r="B46" s="99">
        <v>35000</v>
      </c>
      <c r="C46" s="138" t="s">
        <v>353</v>
      </c>
      <c r="D46" s="98">
        <f>19833.72+6452</f>
        <v>26285.72</v>
      </c>
      <c r="E46" s="98">
        <f>D46+3000</f>
        <v>29285.72</v>
      </c>
      <c r="F46" s="98"/>
      <c r="G46" s="98">
        <f>B46-F46</f>
        <v>35000</v>
      </c>
    </row>
    <row r="47" spans="1:10" hidden="1" x14ac:dyDescent="0.25">
      <c r="A47" s="97" t="s">
        <v>120</v>
      </c>
      <c r="B47" s="99">
        <v>0</v>
      </c>
      <c r="C47" s="138"/>
      <c r="D47" s="98">
        <v>26069.67</v>
      </c>
      <c r="E47" s="98">
        <f>D47</f>
        <v>26069.67</v>
      </c>
      <c r="F47" s="98"/>
      <c r="G47" s="98"/>
    </row>
    <row r="48" spans="1:10" x14ac:dyDescent="0.25">
      <c r="A48" s="97" t="s">
        <v>121</v>
      </c>
      <c r="B48" s="99">
        <v>1000</v>
      </c>
      <c r="C48" s="138"/>
      <c r="D48" s="98">
        <v>108.65</v>
      </c>
      <c r="E48" s="98">
        <f>D48+500</f>
        <v>608.65</v>
      </c>
      <c r="F48" s="98"/>
      <c r="G48" s="98">
        <f t="shared" ref="G48:G69" si="2">B48-F48</f>
        <v>1000</v>
      </c>
    </row>
    <row r="49" spans="1:10" x14ac:dyDescent="0.25">
      <c r="A49" s="97" t="s">
        <v>122</v>
      </c>
      <c r="B49" s="99">
        <v>5000</v>
      </c>
      <c r="C49" s="138"/>
      <c r="D49" s="100">
        <v>2985</v>
      </c>
      <c r="E49" s="100">
        <f>D49+1500</f>
        <v>4485</v>
      </c>
      <c r="F49" s="100"/>
      <c r="G49" s="100">
        <f t="shared" si="2"/>
        <v>5000</v>
      </c>
    </row>
    <row r="50" spans="1:10" x14ac:dyDescent="0.25">
      <c r="A50" s="97" t="s">
        <v>123</v>
      </c>
      <c r="B50" s="99">
        <v>5000</v>
      </c>
      <c r="C50" s="138"/>
      <c r="D50" s="100">
        <v>4725</v>
      </c>
      <c r="E50" s="100">
        <f>D50</f>
        <v>4725</v>
      </c>
      <c r="F50" s="100"/>
      <c r="G50" s="100">
        <f t="shared" si="2"/>
        <v>5000</v>
      </c>
      <c r="J50" s="61"/>
    </row>
    <row r="51" spans="1:10" x14ac:dyDescent="0.25">
      <c r="A51" s="97" t="s">
        <v>124</v>
      </c>
      <c r="B51" s="99">
        <v>2000</v>
      </c>
      <c r="C51" s="138"/>
      <c r="D51" s="98">
        <v>1213.71</v>
      </c>
      <c r="E51" s="98">
        <f>D51+500</f>
        <v>1713.71</v>
      </c>
      <c r="F51" s="98"/>
      <c r="G51" s="98">
        <f t="shared" si="2"/>
        <v>2000</v>
      </c>
    </row>
    <row r="52" spans="1:10" x14ac:dyDescent="0.25">
      <c r="A52" s="97" t="s">
        <v>125</v>
      </c>
      <c r="B52" s="99">
        <v>250</v>
      </c>
      <c r="C52" s="138"/>
      <c r="D52" s="98">
        <v>176.66</v>
      </c>
      <c r="E52" s="98"/>
      <c r="F52" s="98"/>
      <c r="G52" s="98">
        <f t="shared" si="2"/>
        <v>250</v>
      </c>
    </row>
    <row r="53" spans="1:10" x14ac:dyDescent="0.25">
      <c r="A53" s="97" t="s">
        <v>126</v>
      </c>
      <c r="B53" s="99">
        <v>5000</v>
      </c>
      <c r="C53" s="138"/>
      <c r="D53" s="98">
        <v>6715.85</v>
      </c>
      <c r="E53" s="98">
        <f>D53+300</f>
        <v>7015.85</v>
      </c>
      <c r="F53" s="98"/>
      <c r="G53" s="98">
        <f t="shared" si="2"/>
        <v>5000</v>
      </c>
    </row>
    <row r="54" spans="1:10" x14ac:dyDescent="0.25">
      <c r="A54" s="97" t="s">
        <v>127</v>
      </c>
      <c r="B54" s="99">
        <v>1500</v>
      </c>
      <c r="C54" s="138"/>
      <c r="D54" s="98">
        <v>684.93</v>
      </c>
      <c r="E54" s="98">
        <f>D54</f>
        <v>684.93</v>
      </c>
      <c r="F54" s="98"/>
      <c r="G54" s="98">
        <f t="shared" si="2"/>
        <v>1500</v>
      </c>
    </row>
    <row r="55" spans="1:10" x14ac:dyDescent="0.25">
      <c r="A55" s="97" t="s">
        <v>128</v>
      </c>
      <c r="B55" s="99">
        <v>1500</v>
      </c>
      <c r="C55" s="138"/>
      <c r="D55" s="98">
        <v>1566.51</v>
      </c>
      <c r="E55" s="98"/>
      <c r="F55" s="98"/>
      <c r="G55" s="98">
        <f t="shared" si="2"/>
        <v>1500</v>
      </c>
    </row>
    <row r="56" spans="1:10" x14ac:dyDescent="0.25">
      <c r="A56" s="97" t="s">
        <v>129</v>
      </c>
      <c r="B56" s="99">
        <v>1000</v>
      </c>
      <c r="C56" s="138"/>
      <c r="D56" s="98">
        <v>593.23</v>
      </c>
      <c r="E56" s="98"/>
      <c r="F56" s="98"/>
      <c r="G56" s="98">
        <f t="shared" si="2"/>
        <v>1000</v>
      </c>
    </row>
    <row r="57" spans="1:10" x14ac:dyDescent="0.25">
      <c r="A57" s="97" t="s">
        <v>130</v>
      </c>
      <c r="B57" s="99">
        <v>1000</v>
      </c>
      <c r="C57" s="138"/>
      <c r="D57" s="98">
        <v>910.79</v>
      </c>
      <c r="E57" s="98">
        <f>D57+300</f>
        <v>1210.79</v>
      </c>
      <c r="F57" s="98"/>
      <c r="G57" s="98">
        <f t="shared" si="2"/>
        <v>1000</v>
      </c>
    </row>
    <row r="58" spans="1:10" x14ac:dyDescent="0.25">
      <c r="A58" s="97" t="s">
        <v>131</v>
      </c>
      <c r="B58" s="99">
        <v>1000</v>
      </c>
      <c r="C58" s="138"/>
      <c r="D58" s="98">
        <v>768.84</v>
      </c>
      <c r="E58" s="98">
        <f>D58+300</f>
        <v>1068.8400000000001</v>
      </c>
      <c r="F58" s="98"/>
      <c r="G58" s="98">
        <f t="shared" si="2"/>
        <v>1000</v>
      </c>
    </row>
    <row r="59" spans="1:10" x14ac:dyDescent="0.25">
      <c r="A59" s="97" t="s">
        <v>132</v>
      </c>
      <c r="B59" s="99">
        <v>50000</v>
      </c>
      <c r="C59" s="143" t="s">
        <v>336</v>
      </c>
      <c r="D59" s="101">
        <v>38230</v>
      </c>
      <c r="E59" s="101">
        <f>D59+4000*2</f>
        <v>46230</v>
      </c>
      <c r="F59" s="101" t="e">
        <f>C59-B59</f>
        <v>#VALUE!</v>
      </c>
      <c r="G59" s="101" t="e">
        <f t="shared" si="2"/>
        <v>#VALUE!</v>
      </c>
      <c r="J59" s="61"/>
    </row>
    <row r="60" spans="1:10" x14ac:dyDescent="0.25">
      <c r="A60" s="97" t="s">
        <v>133</v>
      </c>
      <c r="B60" s="99">
        <v>5000</v>
      </c>
      <c r="C60" s="138" t="s">
        <v>326</v>
      </c>
      <c r="D60" s="101">
        <v>8726.61</v>
      </c>
      <c r="E60" s="101">
        <f>D60+500</f>
        <v>9226.61</v>
      </c>
      <c r="F60" s="101" t="e">
        <f>C60-B60</f>
        <v>#VALUE!</v>
      </c>
      <c r="G60" s="101" t="e">
        <f t="shared" si="2"/>
        <v>#VALUE!</v>
      </c>
      <c r="J60" s="61"/>
    </row>
    <row r="61" spans="1:10" x14ac:dyDescent="0.25">
      <c r="A61" s="97" t="s">
        <v>134</v>
      </c>
      <c r="B61" s="99">
        <v>15000</v>
      </c>
      <c r="C61" s="138" t="s">
        <v>326</v>
      </c>
      <c r="D61" s="101">
        <v>12604.57</v>
      </c>
      <c r="E61" s="101">
        <f>D61+3000</f>
        <v>15604.57</v>
      </c>
      <c r="F61" s="101" t="e">
        <f>C61-B61</f>
        <v>#VALUE!</v>
      </c>
      <c r="G61" s="101" t="e">
        <f t="shared" si="2"/>
        <v>#VALUE!</v>
      </c>
      <c r="J61" s="61"/>
    </row>
    <row r="62" spans="1:10" x14ac:dyDescent="0.25">
      <c r="A62" s="97" t="s">
        <v>135</v>
      </c>
      <c r="B62" s="99">
        <v>1500</v>
      </c>
      <c r="C62" s="143"/>
      <c r="D62" s="100">
        <v>817</v>
      </c>
      <c r="E62" s="100">
        <v>1000</v>
      </c>
      <c r="F62" s="100">
        <f>C62-B62</f>
        <v>-1500</v>
      </c>
      <c r="G62" s="100">
        <f t="shared" si="2"/>
        <v>3000</v>
      </c>
      <c r="J62" s="61"/>
    </row>
    <row r="63" spans="1:10" x14ac:dyDescent="0.25">
      <c r="A63" s="97" t="s">
        <v>136</v>
      </c>
      <c r="B63" s="99">
        <v>1500</v>
      </c>
      <c r="C63" s="143"/>
      <c r="D63" s="98">
        <v>207</v>
      </c>
      <c r="E63" s="98">
        <f>D63+500</f>
        <v>707</v>
      </c>
      <c r="F63" s="98"/>
      <c r="G63" s="98">
        <f t="shared" si="2"/>
        <v>1500</v>
      </c>
      <c r="I63" t="s">
        <v>341</v>
      </c>
    </row>
    <row r="64" spans="1:10" x14ac:dyDescent="0.25">
      <c r="A64" s="97" t="s">
        <v>137</v>
      </c>
      <c r="B64" s="99">
        <v>400</v>
      </c>
      <c r="C64" s="143" t="s">
        <v>337</v>
      </c>
      <c r="D64" s="98">
        <v>181.76</v>
      </c>
      <c r="E64" s="98">
        <f>D64+100</f>
        <v>281.76</v>
      </c>
      <c r="F64" s="98"/>
      <c r="G64" s="98">
        <f t="shared" si="2"/>
        <v>400</v>
      </c>
    </row>
    <row r="65" spans="1:10" x14ac:dyDescent="0.25">
      <c r="A65" s="97" t="s">
        <v>138</v>
      </c>
      <c r="B65" s="99">
        <v>15000</v>
      </c>
      <c r="C65" s="143"/>
      <c r="D65" s="101">
        <v>11845.44</v>
      </c>
      <c r="E65" s="101">
        <f>D65+3000</f>
        <v>14845.44</v>
      </c>
      <c r="F65" s="101">
        <f>C65-B65</f>
        <v>-15000</v>
      </c>
      <c r="G65" s="101">
        <f t="shared" si="2"/>
        <v>30000</v>
      </c>
    </row>
    <row r="66" spans="1:10" x14ac:dyDescent="0.25">
      <c r="A66" s="97" t="s">
        <v>139</v>
      </c>
      <c r="B66" s="99">
        <v>25000</v>
      </c>
      <c r="C66" s="143"/>
      <c r="D66" s="101">
        <v>18897.39</v>
      </c>
      <c r="E66" s="101">
        <f>D66+3000</f>
        <v>21897.39</v>
      </c>
      <c r="F66" s="101"/>
      <c r="G66" s="101">
        <f t="shared" si="2"/>
        <v>25000</v>
      </c>
      <c r="I66" t="s">
        <v>344</v>
      </c>
      <c r="J66" s="61"/>
    </row>
    <row r="67" spans="1:10" hidden="1" x14ac:dyDescent="0.25">
      <c r="A67" s="97" t="s">
        <v>140</v>
      </c>
      <c r="B67" s="99">
        <v>0</v>
      </c>
      <c r="C67" s="143"/>
      <c r="D67" s="100"/>
      <c r="E67" s="100"/>
      <c r="F67" s="100"/>
      <c r="G67" s="100">
        <f t="shared" si="2"/>
        <v>0</v>
      </c>
      <c r="J67" s="61"/>
    </row>
    <row r="68" spans="1:10" x14ac:dyDescent="0.25">
      <c r="A68" s="97" t="s">
        <v>141</v>
      </c>
      <c r="B68" s="99">
        <v>12000</v>
      </c>
      <c r="C68" s="143" t="s">
        <v>338</v>
      </c>
      <c r="D68" s="101">
        <f>16686.28-8900</f>
        <v>7786.2799999999988</v>
      </c>
      <c r="E68" s="101">
        <f>D68+2000</f>
        <v>9786.2799999999988</v>
      </c>
      <c r="F68" s="101" t="e">
        <f>C68-B68</f>
        <v>#VALUE!</v>
      </c>
      <c r="G68" s="101" t="e">
        <f t="shared" si="2"/>
        <v>#VALUE!</v>
      </c>
    </row>
    <row r="69" spans="1:10" x14ac:dyDescent="0.25">
      <c r="A69" s="97" t="s">
        <v>142</v>
      </c>
      <c r="B69" s="99">
        <v>3000</v>
      </c>
      <c r="C69" s="143" t="s">
        <v>343</v>
      </c>
      <c r="D69" s="101">
        <v>6155.05</v>
      </c>
      <c r="E69" s="101">
        <f>D69+500</f>
        <v>6655.05</v>
      </c>
      <c r="F69" s="101" t="e">
        <f>C69-B69</f>
        <v>#VALUE!</v>
      </c>
      <c r="G69" s="101" t="e">
        <f t="shared" si="2"/>
        <v>#VALUE!</v>
      </c>
      <c r="I69" t="s">
        <v>346</v>
      </c>
    </row>
    <row r="70" spans="1:10" x14ac:dyDescent="0.25">
      <c r="A70" s="97"/>
      <c r="B70" s="99"/>
      <c r="C70" s="143"/>
      <c r="D70" s="98"/>
      <c r="E70" s="98"/>
      <c r="F70" s="98"/>
      <c r="G70" s="98"/>
    </row>
    <row r="71" spans="1:10" x14ac:dyDescent="0.25">
      <c r="A71" s="94" t="s">
        <v>143</v>
      </c>
      <c r="B71" s="145">
        <f>SUM(B72:B76)</f>
        <v>67500</v>
      </c>
      <c r="C71" s="143"/>
      <c r="D71" s="95">
        <f>SUM(D72:D76)</f>
        <v>15326.58</v>
      </c>
      <c r="E71" s="95">
        <f>SUM(E72:E76)</f>
        <v>16326.58</v>
      </c>
      <c r="F71" s="95">
        <f>SUM(F72:F76)</f>
        <v>0</v>
      </c>
      <c r="G71" s="95">
        <f>SUM(G72:G76)</f>
        <v>67500</v>
      </c>
    </row>
    <row r="72" spans="1:10" x14ac:dyDescent="0.25">
      <c r="A72" s="97" t="s">
        <v>144</v>
      </c>
      <c r="B72" s="99">
        <v>35000</v>
      </c>
      <c r="C72" s="143" t="s">
        <v>328</v>
      </c>
      <c r="D72" s="98"/>
      <c r="E72" s="98"/>
      <c r="F72" s="98"/>
      <c r="G72" s="98">
        <f>B72-F72</f>
        <v>35000</v>
      </c>
    </row>
    <row r="73" spans="1:10" x14ac:dyDescent="0.25">
      <c r="A73" s="97" t="s">
        <v>145</v>
      </c>
      <c r="B73" s="99">
        <v>10000</v>
      </c>
      <c r="C73" s="143"/>
      <c r="D73" s="98">
        <v>9866.58</v>
      </c>
      <c r="E73" s="98">
        <f>D73</f>
        <v>9866.58</v>
      </c>
      <c r="F73" s="98"/>
      <c r="G73" s="98">
        <f>B73-F73</f>
        <v>10000</v>
      </c>
    </row>
    <row r="74" spans="1:10" x14ac:dyDescent="0.25">
      <c r="A74" s="97" t="s">
        <v>146</v>
      </c>
      <c r="B74" s="99">
        <v>5000</v>
      </c>
      <c r="C74" s="143"/>
      <c r="D74" s="98">
        <v>2034</v>
      </c>
      <c r="E74" s="98">
        <f>D74</f>
        <v>2034</v>
      </c>
      <c r="F74" s="98"/>
      <c r="G74" s="98">
        <f>B74-F74</f>
        <v>5000</v>
      </c>
    </row>
    <row r="75" spans="1:10" x14ac:dyDescent="0.25">
      <c r="A75" s="97" t="s">
        <v>147</v>
      </c>
      <c r="B75" s="99">
        <v>16000</v>
      </c>
      <c r="C75" s="143" t="s">
        <v>347</v>
      </c>
      <c r="D75" s="98">
        <v>0</v>
      </c>
      <c r="E75" s="98">
        <v>0</v>
      </c>
      <c r="F75" s="98"/>
      <c r="G75" s="98">
        <f>B75-F75</f>
        <v>16000</v>
      </c>
    </row>
    <row r="76" spans="1:10" x14ac:dyDescent="0.25">
      <c r="A76" s="97" t="s">
        <v>148</v>
      </c>
      <c r="B76" s="99">
        <v>1500</v>
      </c>
      <c r="C76" s="143" t="s">
        <v>345</v>
      </c>
      <c r="D76" s="101">
        <v>3426</v>
      </c>
      <c r="E76" s="101">
        <f>D76+1000</f>
        <v>4426</v>
      </c>
      <c r="F76" s="101"/>
      <c r="G76" s="101">
        <f>B76-F76</f>
        <v>1500</v>
      </c>
    </row>
    <row r="77" spans="1:10" x14ac:dyDescent="0.25">
      <c r="A77" s="97"/>
      <c r="B77" s="99"/>
      <c r="C77" s="138"/>
      <c r="D77" s="98"/>
      <c r="E77" s="98"/>
      <c r="F77" s="98"/>
      <c r="G77" s="98"/>
    </row>
    <row r="78" spans="1:10" x14ac:dyDescent="0.25">
      <c r="A78" s="94" t="s">
        <v>149</v>
      </c>
      <c r="B78" s="145">
        <f>SUM(B79:B80)</f>
        <v>0</v>
      </c>
      <c r="C78" s="138"/>
      <c r="D78" s="95">
        <f>SUM(D79:D80)</f>
        <v>0</v>
      </c>
      <c r="E78" s="95">
        <f>SUM(E79:E80)</f>
        <v>0</v>
      </c>
      <c r="F78" s="95">
        <f>SUM(F79:F80)</f>
        <v>0</v>
      </c>
      <c r="G78" s="95">
        <f>SUM(G79:G80)</f>
        <v>0</v>
      </c>
    </row>
    <row r="79" spans="1:10" ht="14.25" customHeight="1" x14ac:dyDescent="0.25">
      <c r="A79" s="97" t="s">
        <v>150</v>
      </c>
      <c r="B79" s="99"/>
      <c r="C79" s="138" t="s">
        <v>339</v>
      </c>
      <c r="D79" s="98"/>
      <c r="E79" s="98"/>
      <c r="F79" s="98"/>
      <c r="G79" s="98">
        <f>B79-F79</f>
        <v>0</v>
      </c>
    </row>
    <row r="80" spans="1:10" ht="14.25" customHeight="1" x14ac:dyDescent="0.25">
      <c r="A80" s="97" t="s">
        <v>151</v>
      </c>
      <c r="B80" s="99"/>
      <c r="C80" s="138" t="s">
        <v>339</v>
      </c>
      <c r="D80" s="98"/>
      <c r="E80" s="98"/>
      <c r="F80" s="98"/>
      <c r="G80" s="98">
        <f>B80-F80</f>
        <v>0</v>
      </c>
    </row>
    <row r="81" spans="1:10" ht="14.25" customHeight="1" x14ac:dyDescent="0.25">
      <c r="A81" s="97"/>
      <c r="B81" s="99"/>
      <c r="C81" s="138"/>
      <c r="D81" s="98"/>
      <c r="E81" s="98"/>
      <c r="F81" s="98"/>
      <c r="G81" s="98"/>
    </row>
    <row r="82" spans="1:10" ht="14.25" customHeight="1" x14ac:dyDescent="0.25">
      <c r="A82" s="94" t="s">
        <v>152</v>
      </c>
      <c r="B82" s="145">
        <v>37300</v>
      </c>
      <c r="C82" s="138" t="s">
        <v>340</v>
      </c>
      <c r="D82" s="95">
        <v>32507</v>
      </c>
      <c r="E82" s="95">
        <f>D82+3000</f>
        <v>35507</v>
      </c>
      <c r="F82" s="95">
        <f>SUM(F83:F87)</f>
        <v>0</v>
      </c>
      <c r="G82" s="98">
        <f>B82-F82</f>
        <v>37300</v>
      </c>
    </row>
    <row r="83" spans="1:10" ht="14.25" customHeight="1" x14ac:dyDescent="0.25">
      <c r="A83" s="97"/>
      <c r="B83" s="99"/>
      <c r="C83" s="138"/>
      <c r="D83" s="98"/>
      <c r="E83" s="98"/>
      <c r="F83" s="98"/>
      <c r="G83" s="98"/>
    </row>
    <row r="84" spans="1:10" ht="14.25" customHeight="1" x14ac:dyDescent="0.25">
      <c r="A84" s="94" t="s">
        <v>27</v>
      </c>
      <c r="B84" s="145">
        <f>SUM(B85:B88)</f>
        <v>7500</v>
      </c>
      <c r="C84" s="138"/>
      <c r="D84" s="95">
        <f>SUM(D85:D88)</f>
        <v>2.7199999999999989</v>
      </c>
      <c r="E84" s="95">
        <f>SUM(E85:E88)</f>
        <v>200</v>
      </c>
      <c r="F84" s="95">
        <f>SUM(F85:F88)</f>
        <v>0</v>
      </c>
      <c r="G84" s="95">
        <f>SUM(G85:G88)</f>
        <v>7500</v>
      </c>
    </row>
    <row r="85" spans="1:10" ht="14.25" customHeight="1" x14ac:dyDescent="0.25">
      <c r="A85" s="97" t="s">
        <v>153</v>
      </c>
      <c r="B85" s="99">
        <v>2500</v>
      </c>
      <c r="C85" s="138"/>
      <c r="D85" s="98">
        <v>-139.09</v>
      </c>
      <c r="E85" s="98">
        <v>0</v>
      </c>
      <c r="F85" s="98"/>
      <c r="G85" s="98">
        <f>B85-F85</f>
        <v>2500</v>
      </c>
    </row>
    <row r="86" spans="1:10" ht="14.25" customHeight="1" x14ac:dyDescent="0.25">
      <c r="A86" s="97" t="s">
        <v>154</v>
      </c>
      <c r="B86" s="99">
        <v>5000</v>
      </c>
      <c r="C86" s="138"/>
      <c r="D86" s="98">
        <v>141.81</v>
      </c>
      <c r="E86" s="98">
        <v>200</v>
      </c>
      <c r="F86" s="98"/>
      <c r="G86" s="98">
        <f>B86-F86</f>
        <v>5000</v>
      </c>
    </row>
    <row r="87" spans="1:10" ht="14.25" customHeight="1" x14ac:dyDescent="0.25">
      <c r="A87" s="97"/>
      <c r="B87" s="99"/>
      <c r="C87" s="138"/>
      <c r="D87" s="98"/>
      <c r="E87" s="98"/>
      <c r="F87" s="98"/>
      <c r="G87" s="98"/>
    </row>
    <row r="88" spans="1:10" ht="14.25" customHeight="1" x14ac:dyDescent="0.25">
      <c r="A88" s="97"/>
      <c r="B88" s="99"/>
      <c r="C88" s="138"/>
      <c r="D88" s="98"/>
      <c r="E88" s="98"/>
      <c r="F88" s="98"/>
      <c r="G88" s="98"/>
    </row>
    <row r="89" spans="1:10" ht="14.25" customHeight="1" x14ac:dyDescent="0.25">
      <c r="A89" s="97"/>
      <c r="B89" s="99"/>
      <c r="C89" s="138"/>
      <c r="D89" s="98"/>
      <c r="E89" s="98"/>
      <c r="F89" s="98"/>
      <c r="G89" s="98"/>
    </row>
    <row r="90" spans="1:10" ht="14.25" customHeight="1" x14ac:dyDescent="0.25">
      <c r="A90" s="94" t="s">
        <v>25</v>
      </c>
      <c r="B90" s="145">
        <f>SUM(B91:B91)</f>
        <v>80000</v>
      </c>
      <c r="C90" s="138"/>
      <c r="D90" s="95">
        <f>SUM(D91:D91)</f>
        <v>174620.88</v>
      </c>
      <c r="E90" s="95">
        <f>SUM(E91:E91)</f>
        <v>307620.88</v>
      </c>
      <c r="F90" s="95">
        <f>SUM(F91:F91)</f>
        <v>0</v>
      </c>
      <c r="G90" s="95">
        <f>SUM(G91:G91)</f>
        <v>80000</v>
      </c>
    </row>
    <row r="91" spans="1:10" ht="14.25" customHeight="1" x14ac:dyDescent="0.25">
      <c r="A91" s="97" t="s">
        <v>155</v>
      </c>
      <c r="B91" s="135">
        <v>80000</v>
      </c>
      <c r="C91" s="138"/>
      <c r="D91" s="98">
        <v>174620.88</v>
      </c>
      <c r="E91" s="98">
        <f>D91+125000+8000</f>
        <v>307620.88</v>
      </c>
      <c r="F91" s="98"/>
      <c r="G91" s="98">
        <f>B91-F91</f>
        <v>80000</v>
      </c>
    </row>
    <row r="92" spans="1:10" ht="14.25" customHeight="1" x14ac:dyDescent="0.25">
      <c r="A92" s="97"/>
      <c r="B92" s="99"/>
      <c r="C92" s="138"/>
      <c r="D92" s="98"/>
      <c r="E92" s="98"/>
      <c r="F92" s="98"/>
      <c r="G92" s="98"/>
    </row>
    <row r="93" spans="1:10" ht="14.25" customHeight="1" x14ac:dyDescent="0.25">
      <c r="A93" s="94" t="s">
        <v>28</v>
      </c>
      <c r="B93" s="145">
        <v>510308</v>
      </c>
      <c r="C93" s="138" t="s">
        <v>342</v>
      </c>
      <c r="D93" s="96">
        <f>SUM('Bond Intercept Schedule'!F143:F153)</f>
        <v>462654.16666666663</v>
      </c>
      <c r="E93" s="96">
        <f>D93+'Bond Intercept Schedule'!F154</f>
        <v>504719.79166666663</v>
      </c>
      <c r="F93" s="96"/>
      <c r="G93" s="98">
        <f>B93-F93</f>
        <v>510308</v>
      </c>
    </row>
    <row r="94" spans="1:10" s="34" customFormat="1" x14ac:dyDescent="0.25">
      <c r="A94" s="97"/>
      <c r="B94" s="99"/>
      <c r="C94" s="138"/>
      <c r="D94" s="98"/>
      <c r="E94" s="98"/>
      <c r="F94" s="98"/>
      <c r="G94" s="98"/>
      <c r="J94" s="60"/>
    </row>
    <row r="95" spans="1:10" s="34" customFormat="1" x14ac:dyDescent="0.25">
      <c r="A95" s="94" t="s">
        <v>156</v>
      </c>
      <c r="B95" s="145">
        <f>'Bond Intercept Schedule'!H155*12+3000+2972*12</f>
        <v>44329</v>
      </c>
      <c r="C95" s="139"/>
      <c r="D95" s="96">
        <f>26493.8+7612.5</f>
        <v>34106.300000000003</v>
      </c>
      <c r="E95" s="96">
        <f>D95+2943.77+3431.27</f>
        <v>40481.339999999997</v>
      </c>
      <c r="F95" s="96"/>
      <c r="G95" s="96">
        <f>B95-F95</f>
        <v>44329</v>
      </c>
      <c r="J95" s="60"/>
    </row>
    <row r="96" spans="1:10" x14ac:dyDescent="0.25">
      <c r="A96" s="59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1F77-BD86-4D48-8D0E-0AE0E40B1BAC}">
  <sheetPr>
    <tabColor theme="4" tint="0.39997558519241921"/>
  </sheetPr>
  <dimension ref="A1:O374"/>
  <sheetViews>
    <sheetView zoomScaleNormal="85" workbookViewId="0">
      <pane xSplit="1" ySplit="6" topLeftCell="B161" activePane="bottomRight" state="frozen"/>
      <selection pane="topRight" activeCell="B1" sqref="B1"/>
      <selection pane="bottomLeft" activeCell="A7" sqref="A7"/>
      <selection pane="bottomRight" activeCell="E364" sqref="E364"/>
    </sheetView>
  </sheetViews>
  <sheetFormatPr defaultRowHeight="12.75" x14ac:dyDescent="0.2"/>
  <cols>
    <col min="1" max="1" width="13" style="68" customWidth="1"/>
    <col min="2" max="3" width="15" style="68" customWidth="1"/>
    <col min="4" max="4" width="15.28515625" style="68" customWidth="1"/>
    <col min="5" max="5" width="15" style="68" customWidth="1"/>
    <col min="6" max="9" width="15.85546875" style="68" customWidth="1"/>
    <col min="10" max="10" width="15.28515625" style="68" bestFit="1" customWidth="1"/>
    <col min="11" max="11" width="14.85546875" style="68" customWidth="1"/>
    <col min="12" max="256" width="9.140625" style="68"/>
    <col min="257" max="257" width="13" style="68" customWidth="1"/>
    <col min="258" max="259" width="15" style="68" customWidth="1"/>
    <col min="260" max="260" width="15.28515625" style="68" customWidth="1"/>
    <col min="261" max="261" width="15" style="68" customWidth="1"/>
    <col min="262" max="265" width="15.85546875" style="68" customWidth="1"/>
    <col min="266" max="266" width="15.28515625" style="68" bestFit="1" customWidth="1"/>
    <col min="267" max="267" width="14.85546875" style="68" customWidth="1"/>
    <col min="268" max="512" width="9.140625" style="68"/>
    <col min="513" max="513" width="13" style="68" customWidth="1"/>
    <col min="514" max="515" width="15" style="68" customWidth="1"/>
    <col min="516" max="516" width="15.28515625" style="68" customWidth="1"/>
    <col min="517" max="517" width="15" style="68" customWidth="1"/>
    <col min="518" max="521" width="15.85546875" style="68" customWidth="1"/>
    <col min="522" max="522" width="15.28515625" style="68" bestFit="1" customWidth="1"/>
    <col min="523" max="523" width="14.85546875" style="68" customWidth="1"/>
    <col min="524" max="768" width="9.140625" style="68"/>
    <col min="769" max="769" width="13" style="68" customWidth="1"/>
    <col min="770" max="771" width="15" style="68" customWidth="1"/>
    <col min="772" max="772" width="15.28515625" style="68" customWidth="1"/>
    <col min="773" max="773" width="15" style="68" customWidth="1"/>
    <col min="774" max="777" width="15.85546875" style="68" customWidth="1"/>
    <col min="778" max="778" width="15.28515625" style="68" bestFit="1" customWidth="1"/>
    <col min="779" max="779" width="14.85546875" style="68" customWidth="1"/>
    <col min="780" max="1024" width="9.140625" style="68"/>
    <col min="1025" max="1025" width="13" style="68" customWidth="1"/>
    <col min="1026" max="1027" width="15" style="68" customWidth="1"/>
    <col min="1028" max="1028" width="15.28515625" style="68" customWidth="1"/>
    <col min="1029" max="1029" width="15" style="68" customWidth="1"/>
    <col min="1030" max="1033" width="15.85546875" style="68" customWidth="1"/>
    <col min="1034" max="1034" width="15.28515625" style="68" bestFit="1" customWidth="1"/>
    <col min="1035" max="1035" width="14.85546875" style="68" customWidth="1"/>
    <col min="1036" max="1280" width="9.140625" style="68"/>
    <col min="1281" max="1281" width="13" style="68" customWidth="1"/>
    <col min="1282" max="1283" width="15" style="68" customWidth="1"/>
    <col min="1284" max="1284" width="15.28515625" style="68" customWidth="1"/>
    <col min="1285" max="1285" width="15" style="68" customWidth="1"/>
    <col min="1286" max="1289" width="15.85546875" style="68" customWidth="1"/>
    <col min="1290" max="1290" width="15.28515625" style="68" bestFit="1" customWidth="1"/>
    <col min="1291" max="1291" width="14.85546875" style="68" customWidth="1"/>
    <col min="1292" max="1536" width="9.140625" style="68"/>
    <col min="1537" max="1537" width="13" style="68" customWidth="1"/>
    <col min="1538" max="1539" width="15" style="68" customWidth="1"/>
    <col min="1540" max="1540" width="15.28515625" style="68" customWidth="1"/>
    <col min="1541" max="1541" width="15" style="68" customWidth="1"/>
    <col min="1542" max="1545" width="15.85546875" style="68" customWidth="1"/>
    <col min="1546" max="1546" width="15.28515625" style="68" bestFit="1" customWidth="1"/>
    <col min="1547" max="1547" width="14.85546875" style="68" customWidth="1"/>
    <col min="1548" max="1792" width="9.140625" style="68"/>
    <col min="1793" max="1793" width="13" style="68" customWidth="1"/>
    <col min="1794" max="1795" width="15" style="68" customWidth="1"/>
    <col min="1796" max="1796" width="15.28515625" style="68" customWidth="1"/>
    <col min="1797" max="1797" width="15" style="68" customWidth="1"/>
    <col min="1798" max="1801" width="15.85546875" style="68" customWidth="1"/>
    <col min="1802" max="1802" width="15.28515625" style="68" bestFit="1" customWidth="1"/>
    <col min="1803" max="1803" width="14.85546875" style="68" customWidth="1"/>
    <col min="1804" max="2048" width="9.140625" style="68"/>
    <col min="2049" max="2049" width="13" style="68" customWidth="1"/>
    <col min="2050" max="2051" width="15" style="68" customWidth="1"/>
    <col min="2052" max="2052" width="15.28515625" style="68" customWidth="1"/>
    <col min="2053" max="2053" width="15" style="68" customWidth="1"/>
    <col min="2054" max="2057" width="15.85546875" style="68" customWidth="1"/>
    <col min="2058" max="2058" width="15.28515625" style="68" bestFit="1" customWidth="1"/>
    <col min="2059" max="2059" width="14.85546875" style="68" customWidth="1"/>
    <col min="2060" max="2304" width="9.140625" style="68"/>
    <col min="2305" max="2305" width="13" style="68" customWidth="1"/>
    <col min="2306" max="2307" width="15" style="68" customWidth="1"/>
    <col min="2308" max="2308" width="15.28515625" style="68" customWidth="1"/>
    <col min="2309" max="2309" width="15" style="68" customWidth="1"/>
    <col min="2310" max="2313" width="15.85546875" style="68" customWidth="1"/>
    <col min="2314" max="2314" width="15.28515625" style="68" bestFit="1" customWidth="1"/>
    <col min="2315" max="2315" width="14.85546875" style="68" customWidth="1"/>
    <col min="2316" max="2560" width="9.140625" style="68"/>
    <col min="2561" max="2561" width="13" style="68" customWidth="1"/>
    <col min="2562" max="2563" width="15" style="68" customWidth="1"/>
    <col min="2564" max="2564" width="15.28515625" style="68" customWidth="1"/>
    <col min="2565" max="2565" width="15" style="68" customWidth="1"/>
    <col min="2566" max="2569" width="15.85546875" style="68" customWidth="1"/>
    <col min="2570" max="2570" width="15.28515625" style="68" bestFit="1" customWidth="1"/>
    <col min="2571" max="2571" width="14.85546875" style="68" customWidth="1"/>
    <col min="2572" max="2816" width="9.140625" style="68"/>
    <col min="2817" max="2817" width="13" style="68" customWidth="1"/>
    <col min="2818" max="2819" width="15" style="68" customWidth="1"/>
    <col min="2820" max="2820" width="15.28515625" style="68" customWidth="1"/>
    <col min="2821" max="2821" width="15" style="68" customWidth="1"/>
    <col min="2822" max="2825" width="15.85546875" style="68" customWidth="1"/>
    <col min="2826" max="2826" width="15.28515625" style="68" bestFit="1" customWidth="1"/>
    <col min="2827" max="2827" width="14.85546875" style="68" customWidth="1"/>
    <col min="2828" max="3072" width="9.140625" style="68"/>
    <col min="3073" max="3073" width="13" style="68" customWidth="1"/>
    <col min="3074" max="3075" width="15" style="68" customWidth="1"/>
    <col min="3076" max="3076" width="15.28515625" style="68" customWidth="1"/>
    <col min="3077" max="3077" width="15" style="68" customWidth="1"/>
    <col min="3078" max="3081" width="15.85546875" style="68" customWidth="1"/>
    <col min="3082" max="3082" width="15.28515625" style="68" bestFit="1" customWidth="1"/>
    <col min="3083" max="3083" width="14.85546875" style="68" customWidth="1"/>
    <col min="3084" max="3328" width="9.140625" style="68"/>
    <col min="3329" max="3329" width="13" style="68" customWidth="1"/>
    <col min="3330" max="3331" width="15" style="68" customWidth="1"/>
    <col min="3332" max="3332" width="15.28515625" style="68" customWidth="1"/>
    <col min="3333" max="3333" width="15" style="68" customWidth="1"/>
    <col min="3334" max="3337" width="15.85546875" style="68" customWidth="1"/>
    <col min="3338" max="3338" width="15.28515625" style="68" bestFit="1" customWidth="1"/>
    <col min="3339" max="3339" width="14.85546875" style="68" customWidth="1"/>
    <col min="3340" max="3584" width="9.140625" style="68"/>
    <col min="3585" max="3585" width="13" style="68" customWidth="1"/>
    <col min="3586" max="3587" width="15" style="68" customWidth="1"/>
    <col min="3588" max="3588" width="15.28515625" style="68" customWidth="1"/>
    <col min="3589" max="3589" width="15" style="68" customWidth="1"/>
    <col min="3590" max="3593" width="15.85546875" style="68" customWidth="1"/>
    <col min="3594" max="3594" width="15.28515625" style="68" bestFit="1" customWidth="1"/>
    <col min="3595" max="3595" width="14.85546875" style="68" customWidth="1"/>
    <col min="3596" max="3840" width="9.140625" style="68"/>
    <col min="3841" max="3841" width="13" style="68" customWidth="1"/>
    <col min="3842" max="3843" width="15" style="68" customWidth="1"/>
    <col min="3844" max="3844" width="15.28515625" style="68" customWidth="1"/>
    <col min="3845" max="3845" width="15" style="68" customWidth="1"/>
    <col min="3846" max="3849" width="15.85546875" style="68" customWidth="1"/>
    <col min="3850" max="3850" width="15.28515625" style="68" bestFit="1" customWidth="1"/>
    <col min="3851" max="3851" width="14.85546875" style="68" customWidth="1"/>
    <col min="3852" max="4096" width="9.140625" style="68"/>
    <col min="4097" max="4097" width="13" style="68" customWidth="1"/>
    <col min="4098" max="4099" width="15" style="68" customWidth="1"/>
    <col min="4100" max="4100" width="15.28515625" style="68" customWidth="1"/>
    <col min="4101" max="4101" width="15" style="68" customWidth="1"/>
    <col min="4102" max="4105" width="15.85546875" style="68" customWidth="1"/>
    <col min="4106" max="4106" width="15.28515625" style="68" bestFit="1" customWidth="1"/>
    <col min="4107" max="4107" width="14.85546875" style="68" customWidth="1"/>
    <col min="4108" max="4352" width="9.140625" style="68"/>
    <col min="4353" max="4353" width="13" style="68" customWidth="1"/>
    <col min="4354" max="4355" width="15" style="68" customWidth="1"/>
    <col min="4356" max="4356" width="15.28515625" style="68" customWidth="1"/>
    <col min="4357" max="4357" width="15" style="68" customWidth="1"/>
    <col min="4358" max="4361" width="15.85546875" style="68" customWidth="1"/>
    <col min="4362" max="4362" width="15.28515625" style="68" bestFit="1" customWidth="1"/>
    <col min="4363" max="4363" width="14.85546875" style="68" customWidth="1"/>
    <col min="4364" max="4608" width="9.140625" style="68"/>
    <col min="4609" max="4609" width="13" style="68" customWidth="1"/>
    <col min="4610" max="4611" width="15" style="68" customWidth="1"/>
    <col min="4612" max="4612" width="15.28515625" style="68" customWidth="1"/>
    <col min="4613" max="4613" width="15" style="68" customWidth="1"/>
    <col min="4614" max="4617" width="15.85546875" style="68" customWidth="1"/>
    <col min="4618" max="4618" width="15.28515625" style="68" bestFit="1" customWidth="1"/>
    <col min="4619" max="4619" width="14.85546875" style="68" customWidth="1"/>
    <col min="4620" max="4864" width="9.140625" style="68"/>
    <col min="4865" max="4865" width="13" style="68" customWidth="1"/>
    <col min="4866" max="4867" width="15" style="68" customWidth="1"/>
    <col min="4868" max="4868" width="15.28515625" style="68" customWidth="1"/>
    <col min="4869" max="4869" width="15" style="68" customWidth="1"/>
    <col min="4870" max="4873" width="15.85546875" style="68" customWidth="1"/>
    <col min="4874" max="4874" width="15.28515625" style="68" bestFit="1" customWidth="1"/>
    <col min="4875" max="4875" width="14.85546875" style="68" customWidth="1"/>
    <col min="4876" max="5120" width="9.140625" style="68"/>
    <col min="5121" max="5121" width="13" style="68" customWidth="1"/>
    <col min="5122" max="5123" width="15" style="68" customWidth="1"/>
    <col min="5124" max="5124" width="15.28515625" style="68" customWidth="1"/>
    <col min="5125" max="5125" width="15" style="68" customWidth="1"/>
    <col min="5126" max="5129" width="15.85546875" style="68" customWidth="1"/>
    <col min="5130" max="5130" width="15.28515625" style="68" bestFit="1" customWidth="1"/>
    <col min="5131" max="5131" width="14.85546875" style="68" customWidth="1"/>
    <col min="5132" max="5376" width="9.140625" style="68"/>
    <col min="5377" max="5377" width="13" style="68" customWidth="1"/>
    <col min="5378" max="5379" width="15" style="68" customWidth="1"/>
    <col min="5380" max="5380" width="15.28515625" style="68" customWidth="1"/>
    <col min="5381" max="5381" width="15" style="68" customWidth="1"/>
    <col min="5382" max="5385" width="15.85546875" style="68" customWidth="1"/>
    <col min="5386" max="5386" width="15.28515625" style="68" bestFit="1" customWidth="1"/>
    <col min="5387" max="5387" width="14.85546875" style="68" customWidth="1"/>
    <col min="5388" max="5632" width="9.140625" style="68"/>
    <col min="5633" max="5633" width="13" style="68" customWidth="1"/>
    <col min="5634" max="5635" width="15" style="68" customWidth="1"/>
    <col min="5636" max="5636" width="15.28515625" style="68" customWidth="1"/>
    <col min="5637" max="5637" width="15" style="68" customWidth="1"/>
    <col min="5638" max="5641" width="15.85546875" style="68" customWidth="1"/>
    <col min="5642" max="5642" width="15.28515625" style="68" bestFit="1" customWidth="1"/>
    <col min="5643" max="5643" width="14.85546875" style="68" customWidth="1"/>
    <col min="5644" max="5888" width="9.140625" style="68"/>
    <col min="5889" max="5889" width="13" style="68" customWidth="1"/>
    <col min="5890" max="5891" width="15" style="68" customWidth="1"/>
    <col min="5892" max="5892" width="15.28515625" style="68" customWidth="1"/>
    <col min="5893" max="5893" width="15" style="68" customWidth="1"/>
    <col min="5894" max="5897" width="15.85546875" style="68" customWidth="1"/>
    <col min="5898" max="5898" width="15.28515625" style="68" bestFit="1" customWidth="1"/>
    <col min="5899" max="5899" width="14.85546875" style="68" customWidth="1"/>
    <col min="5900" max="6144" width="9.140625" style="68"/>
    <col min="6145" max="6145" width="13" style="68" customWidth="1"/>
    <col min="6146" max="6147" width="15" style="68" customWidth="1"/>
    <col min="6148" max="6148" width="15.28515625" style="68" customWidth="1"/>
    <col min="6149" max="6149" width="15" style="68" customWidth="1"/>
    <col min="6150" max="6153" width="15.85546875" style="68" customWidth="1"/>
    <col min="6154" max="6154" width="15.28515625" style="68" bestFit="1" customWidth="1"/>
    <col min="6155" max="6155" width="14.85546875" style="68" customWidth="1"/>
    <col min="6156" max="6400" width="9.140625" style="68"/>
    <col min="6401" max="6401" width="13" style="68" customWidth="1"/>
    <col min="6402" max="6403" width="15" style="68" customWidth="1"/>
    <col min="6404" max="6404" width="15.28515625" style="68" customWidth="1"/>
    <col min="6405" max="6405" width="15" style="68" customWidth="1"/>
    <col min="6406" max="6409" width="15.85546875" style="68" customWidth="1"/>
    <col min="6410" max="6410" width="15.28515625" style="68" bestFit="1" customWidth="1"/>
    <col min="6411" max="6411" width="14.85546875" style="68" customWidth="1"/>
    <col min="6412" max="6656" width="9.140625" style="68"/>
    <col min="6657" max="6657" width="13" style="68" customWidth="1"/>
    <col min="6658" max="6659" width="15" style="68" customWidth="1"/>
    <col min="6660" max="6660" width="15.28515625" style="68" customWidth="1"/>
    <col min="6661" max="6661" width="15" style="68" customWidth="1"/>
    <col min="6662" max="6665" width="15.85546875" style="68" customWidth="1"/>
    <col min="6666" max="6666" width="15.28515625" style="68" bestFit="1" customWidth="1"/>
    <col min="6667" max="6667" width="14.85546875" style="68" customWidth="1"/>
    <col min="6668" max="6912" width="9.140625" style="68"/>
    <col min="6913" max="6913" width="13" style="68" customWidth="1"/>
    <col min="6914" max="6915" width="15" style="68" customWidth="1"/>
    <col min="6916" max="6916" width="15.28515625" style="68" customWidth="1"/>
    <col min="6917" max="6917" width="15" style="68" customWidth="1"/>
    <col min="6918" max="6921" width="15.85546875" style="68" customWidth="1"/>
    <col min="6922" max="6922" width="15.28515625" style="68" bestFit="1" customWidth="1"/>
    <col min="6923" max="6923" width="14.85546875" style="68" customWidth="1"/>
    <col min="6924" max="7168" width="9.140625" style="68"/>
    <col min="7169" max="7169" width="13" style="68" customWidth="1"/>
    <col min="7170" max="7171" width="15" style="68" customWidth="1"/>
    <col min="7172" max="7172" width="15.28515625" style="68" customWidth="1"/>
    <col min="7173" max="7173" width="15" style="68" customWidth="1"/>
    <col min="7174" max="7177" width="15.85546875" style="68" customWidth="1"/>
    <col min="7178" max="7178" width="15.28515625" style="68" bestFit="1" customWidth="1"/>
    <col min="7179" max="7179" width="14.85546875" style="68" customWidth="1"/>
    <col min="7180" max="7424" width="9.140625" style="68"/>
    <col min="7425" max="7425" width="13" style="68" customWidth="1"/>
    <col min="7426" max="7427" width="15" style="68" customWidth="1"/>
    <col min="7428" max="7428" width="15.28515625" style="68" customWidth="1"/>
    <col min="7429" max="7429" width="15" style="68" customWidth="1"/>
    <col min="7430" max="7433" width="15.85546875" style="68" customWidth="1"/>
    <col min="7434" max="7434" width="15.28515625" style="68" bestFit="1" customWidth="1"/>
    <col min="7435" max="7435" width="14.85546875" style="68" customWidth="1"/>
    <col min="7436" max="7680" width="9.140625" style="68"/>
    <col min="7681" max="7681" width="13" style="68" customWidth="1"/>
    <col min="7682" max="7683" width="15" style="68" customWidth="1"/>
    <col min="7684" max="7684" width="15.28515625" style="68" customWidth="1"/>
    <col min="7685" max="7685" width="15" style="68" customWidth="1"/>
    <col min="7686" max="7689" width="15.85546875" style="68" customWidth="1"/>
    <col min="7690" max="7690" width="15.28515625" style="68" bestFit="1" customWidth="1"/>
    <col min="7691" max="7691" width="14.85546875" style="68" customWidth="1"/>
    <col min="7692" max="7936" width="9.140625" style="68"/>
    <col min="7937" max="7937" width="13" style="68" customWidth="1"/>
    <col min="7938" max="7939" width="15" style="68" customWidth="1"/>
    <col min="7940" max="7940" width="15.28515625" style="68" customWidth="1"/>
    <col min="7941" max="7941" width="15" style="68" customWidth="1"/>
    <col min="7942" max="7945" width="15.85546875" style="68" customWidth="1"/>
    <col min="7946" max="7946" width="15.28515625" style="68" bestFit="1" customWidth="1"/>
    <col min="7947" max="7947" width="14.85546875" style="68" customWidth="1"/>
    <col min="7948" max="8192" width="9.140625" style="68"/>
    <col min="8193" max="8193" width="13" style="68" customWidth="1"/>
    <col min="8194" max="8195" width="15" style="68" customWidth="1"/>
    <col min="8196" max="8196" width="15.28515625" style="68" customWidth="1"/>
    <col min="8197" max="8197" width="15" style="68" customWidth="1"/>
    <col min="8198" max="8201" width="15.85546875" style="68" customWidth="1"/>
    <col min="8202" max="8202" width="15.28515625" style="68" bestFit="1" customWidth="1"/>
    <col min="8203" max="8203" width="14.85546875" style="68" customWidth="1"/>
    <col min="8204" max="8448" width="9.140625" style="68"/>
    <col min="8449" max="8449" width="13" style="68" customWidth="1"/>
    <col min="8450" max="8451" width="15" style="68" customWidth="1"/>
    <col min="8452" max="8452" width="15.28515625" style="68" customWidth="1"/>
    <col min="8453" max="8453" width="15" style="68" customWidth="1"/>
    <col min="8454" max="8457" width="15.85546875" style="68" customWidth="1"/>
    <col min="8458" max="8458" width="15.28515625" style="68" bestFit="1" customWidth="1"/>
    <col min="8459" max="8459" width="14.85546875" style="68" customWidth="1"/>
    <col min="8460" max="8704" width="9.140625" style="68"/>
    <col min="8705" max="8705" width="13" style="68" customWidth="1"/>
    <col min="8706" max="8707" width="15" style="68" customWidth="1"/>
    <col min="8708" max="8708" width="15.28515625" style="68" customWidth="1"/>
    <col min="8709" max="8709" width="15" style="68" customWidth="1"/>
    <col min="8710" max="8713" width="15.85546875" style="68" customWidth="1"/>
    <col min="8714" max="8714" width="15.28515625" style="68" bestFit="1" customWidth="1"/>
    <col min="8715" max="8715" width="14.85546875" style="68" customWidth="1"/>
    <col min="8716" max="8960" width="9.140625" style="68"/>
    <col min="8961" max="8961" width="13" style="68" customWidth="1"/>
    <col min="8962" max="8963" width="15" style="68" customWidth="1"/>
    <col min="8964" max="8964" width="15.28515625" style="68" customWidth="1"/>
    <col min="8965" max="8965" width="15" style="68" customWidth="1"/>
    <col min="8966" max="8969" width="15.85546875" style="68" customWidth="1"/>
    <col min="8970" max="8970" width="15.28515625" style="68" bestFit="1" customWidth="1"/>
    <col min="8971" max="8971" width="14.85546875" style="68" customWidth="1"/>
    <col min="8972" max="9216" width="9.140625" style="68"/>
    <col min="9217" max="9217" width="13" style="68" customWidth="1"/>
    <col min="9218" max="9219" width="15" style="68" customWidth="1"/>
    <col min="9220" max="9220" width="15.28515625" style="68" customWidth="1"/>
    <col min="9221" max="9221" width="15" style="68" customWidth="1"/>
    <col min="9222" max="9225" width="15.85546875" style="68" customWidth="1"/>
    <col min="9226" max="9226" width="15.28515625" style="68" bestFit="1" customWidth="1"/>
    <col min="9227" max="9227" width="14.85546875" style="68" customWidth="1"/>
    <col min="9228" max="9472" width="9.140625" style="68"/>
    <col min="9473" max="9473" width="13" style="68" customWidth="1"/>
    <col min="9474" max="9475" width="15" style="68" customWidth="1"/>
    <col min="9476" max="9476" width="15.28515625" style="68" customWidth="1"/>
    <col min="9477" max="9477" width="15" style="68" customWidth="1"/>
    <col min="9478" max="9481" width="15.85546875" style="68" customWidth="1"/>
    <col min="9482" max="9482" width="15.28515625" style="68" bestFit="1" customWidth="1"/>
    <col min="9483" max="9483" width="14.85546875" style="68" customWidth="1"/>
    <col min="9484" max="9728" width="9.140625" style="68"/>
    <col min="9729" max="9729" width="13" style="68" customWidth="1"/>
    <col min="9730" max="9731" width="15" style="68" customWidth="1"/>
    <col min="9732" max="9732" width="15.28515625" style="68" customWidth="1"/>
    <col min="9733" max="9733" width="15" style="68" customWidth="1"/>
    <col min="9734" max="9737" width="15.85546875" style="68" customWidth="1"/>
    <col min="9738" max="9738" width="15.28515625" style="68" bestFit="1" customWidth="1"/>
    <col min="9739" max="9739" width="14.85546875" style="68" customWidth="1"/>
    <col min="9740" max="9984" width="9.140625" style="68"/>
    <col min="9985" max="9985" width="13" style="68" customWidth="1"/>
    <col min="9986" max="9987" width="15" style="68" customWidth="1"/>
    <col min="9988" max="9988" width="15.28515625" style="68" customWidth="1"/>
    <col min="9989" max="9989" width="15" style="68" customWidth="1"/>
    <col min="9990" max="9993" width="15.85546875" style="68" customWidth="1"/>
    <col min="9994" max="9994" width="15.28515625" style="68" bestFit="1" customWidth="1"/>
    <col min="9995" max="9995" width="14.85546875" style="68" customWidth="1"/>
    <col min="9996" max="10240" width="9.140625" style="68"/>
    <col min="10241" max="10241" width="13" style="68" customWidth="1"/>
    <col min="10242" max="10243" width="15" style="68" customWidth="1"/>
    <col min="10244" max="10244" width="15.28515625" style="68" customWidth="1"/>
    <col min="10245" max="10245" width="15" style="68" customWidth="1"/>
    <col min="10246" max="10249" width="15.85546875" style="68" customWidth="1"/>
    <col min="10250" max="10250" width="15.28515625" style="68" bestFit="1" customWidth="1"/>
    <col min="10251" max="10251" width="14.85546875" style="68" customWidth="1"/>
    <col min="10252" max="10496" width="9.140625" style="68"/>
    <col min="10497" max="10497" width="13" style="68" customWidth="1"/>
    <col min="10498" max="10499" width="15" style="68" customWidth="1"/>
    <col min="10500" max="10500" width="15.28515625" style="68" customWidth="1"/>
    <col min="10501" max="10501" width="15" style="68" customWidth="1"/>
    <col min="10502" max="10505" width="15.85546875" style="68" customWidth="1"/>
    <col min="10506" max="10506" width="15.28515625" style="68" bestFit="1" customWidth="1"/>
    <col min="10507" max="10507" width="14.85546875" style="68" customWidth="1"/>
    <col min="10508" max="10752" width="9.140625" style="68"/>
    <col min="10753" max="10753" width="13" style="68" customWidth="1"/>
    <col min="10754" max="10755" width="15" style="68" customWidth="1"/>
    <col min="10756" max="10756" width="15.28515625" style="68" customWidth="1"/>
    <col min="10757" max="10757" width="15" style="68" customWidth="1"/>
    <col min="10758" max="10761" width="15.85546875" style="68" customWidth="1"/>
    <col min="10762" max="10762" width="15.28515625" style="68" bestFit="1" customWidth="1"/>
    <col min="10763" max="10763" width="14.85546875" style="68" customWidth="1"/>
    <col min="10764" max="11008" width="9.140625" style="68"/>
    <col min="11009" max="11009" width="13" style="68" customWidth="1"/>
    <col min="11010" max="11011" width="15" style="68" customWidth="1"/>
    <col min="11012" max="11012" width="15.28515625" style="68" customWidth="1"/>
    <col min="11013" max="11013" width="15" style="68" customWidth="1"/>
    <col min="11014" max="11017" width="15.85546875" style="68" customWidth="1"/>
    <col min="11018" max="11018" width="15.28515625" style="68" bestFit="1" customWidth="1"/>
    <col min="11019" max="11019" width="14.85546875" style="68" customWidth="1"/>
    <col min="11020" max="11264" width="9.140625" style="68"/>
    <col min="11265" max="11265" width="13" style="68" customWidth="1"/>
    <col min="11266" max="11267" width="15" style="68" customWidth="1"/>
    <col min="11268" max="11268" width="15.28515625" style="68" customWidth="1"/>
    <col min="11269" max="11269" width="15" style="68" customWidth="1"/>
    <col min="11270" max="11273" width="15.85546875" style="68" customWidth="1"/>
    <col min="11274" max="11274" width="15.28515625" style="68" bestFit="1" customWidth="1"/>
    <col min="11275" max="11275" width="14.85546875" style="68" customWidth="1"/>
    <col min="11276" max="11520" width="9.140625" style="68"/>
    <col min="11521" max="11521" width="13" style="68" customWidth="1"/>
    <col min="11522" max="11523" width="15" style="68" customWidth="1"/>
    <col min="11524" max="11524" width="15.28515625" style="68" customWidth="1"/>
    <col min="11525" max="11525" width="15" style="68" customWidth="1"/>
    <col min="11526" max="11529" width="15.85546875" style="68" customWidth="1"/>
    <col min="11530" max="11530" width="15.28515625" style="68" bestFit="1" customWidth="1"/>
    <col min="11531" max="11531" width="14.85546875" style="68" customWidth="1"/>
    <col min="11532" max="11776" width="9.140625" style="68"/>
    <col min="11777" max="11777" width="13" style="68" customWidth="1"/>
    <col min="11778" max="11779" width="15" style="68" customWidth="1"/>
    <col min="11780" max="11780" width="15.28515625" style="68" customWidth="1"/>
    <col min="11781" max="11781" width="15" style="68" customWidth="1"/>
    <col min="11782" max="11785" width="15.85546875" style="68" customWidth="1"/>
    <col min="11786" max="11786" width="15.28515625" style="68" bestFit="1" customWidth="1"/>
    <col min="11787" max="11787" width="14.85546875" style="68" customWidth="1"/>
    <col min="11788" max="12032" width="9.140625" style="68"/>
    <col min="12033" max="12033" width="13" style="68" customWidth="1"/>
    <col min="12034" max="12035" width="15" style="68" customWidth="1"/>
    <col min="12036" max="12036" width="15.28515625" style="68" customWidth="1"/>
    <col min="12037" max="12037" width="15" style="68" customWidth="1"/>
    <col min="12038" max="12041" width="15.85546875" style="68" customWidth="1"/>
    <col min="12042" max="12042" width="15.28515625" style="68" bestFit="1" customWidth="1"/>
    <col min="12043" max="12043" width="14.85546875" style="68" customWidth="1"/>
    <col min="12044" max="12288" width="9.140625" style="68"/>
    <col min="12289" max="12289" width="13" style="68" customWidth="1"/>
    <col min="12290" max="12291" width="15" style="68" customWidth="1"/>
    <col min="12292" max="12292" width="15.28515625" style="68" customWidth="1"/>
    <col min="12293" max="12293" width="15" style="68" customWidth="1"/>
    <col min="12294" max="12297" width="15.85546875" style="68" customWidth="1"/>
    <col min="12298" max="12298" width="15.28515625" style="68" bestFit="1" customWidth="1"/>
    <col min="12299" max="12299" width="14.85546875" style="68" customWidth="1"/>
    <col min="12300" max="12544" width="9.140625" style="68"/>
    <col min="12545" max="12545" width="13" style="68" customWidth="1"/>
    <col min="12546" max="12547" width="15" style="68" customWidth="1"/>
    <col min="12548" max="12548" width="15.28515625" style="68" customWidth="1"/>
    <col min="12549" max="12549" width="15" style="68" customWidth="1"/>
    <col min="12550" max="12553" width="15.85546875" style="68" customWidth="1"/>
    <col min="12554" max="12554" width="15.28515625" style="68" bestFit="1" customWidth="1"/>
    <col min="12555" max="12555" width="14.85546875" style="68" customWidth="1"/>
    <col min="12556" max="12800" width="9.140625" style="68"/>
    <col min="12801" max="12801" width="13" style="68" customWidth="1"/>
    <col min="12802" max="12803" width="15" style="68" customWidth="1"/>
    <col min="12804" max="12804" width="15.28515625" style="68" customWidth="1"/>
    <col min="12805" max="12805" width="15" style="68" customWidth="1"/>
    <col min="12806" max="12809" width="15.85546875" style="68" customWidth="1"/>
    <col min="12810" max="12810" width="15.28515625" style="68" bestFit="1" customWidth="1"/>
    <col min="12811" max="12811" width="14.85546875" style="68" customWidth="1"/>
    <col min="12812" max="13056" width="9.140625" style="68"/>
    <col min="13057" max="13057" width="13" style="68" customWidth="1"/>
    <col min="13058" max="13059" width="15" style="68" customWidth="1"/>
    <col min="13060" max="13060" width="15.28515625" style="68" customWidth="1"/>
    <col min="13061" max="13061" width="15" style="68" customWidth="1"/>
    <col min="13062" max="13065" width="15.85546875" style="68" customWidth="1"/>
    <col min="13066" max="13066" width="15.28515625" style="68" bestFit="1" customWidth="1"/>
    <col min="13067" max="13067" width="14.85546875" style="68" customWidth="1"/>
    <col min="13068" max="13312" width="9.140625" style="68"/>
    <col min="13313" max="13313" width="13" style="68" customWidth="1"/>
    <col min="13314" max="13315" width="15" style="68" customWidth="1"/>
    <col min="13316" max="13316" width="15.28515625" style="68" customWidth="1"/>
    <col min="13317" max="13317" width="15" style="68" customWidth="1"/>
    <col min="13318" max="13321" width="15.85546875" style="68" customWidth="1"/>
    <col min="13322" max="13322" width="15.28515625" style="68" bestFit="1" customWidth="1"/>
    <col min="13323" max="13323" width="14.85546875" style="68" customWidth="1"/>
    <col min="13324" max="13568" width="9.140625" style="68"/>
    <col min="13569" max="13569" width="13" style="68" customWidth="1"/>
    <col min="13570" max="13571" width="15" style="68" customWidth="1"/>
    <col min="13572" max="13572" width="15.28515625" style="68" customWidth="1"/>
    <col min="13573" max="13573" width="15" style="68" customWidth="1"/>
    <col min="13574" max="13577" width="15.85546875" style="68" customWidth="1"/>
    <col min="13578" max="13578" width="15.28515625" style="68" bestFit="1" customWidth="1"/>
    <col min="13579" max="13579" width="14.85546875" style="68" customWidth="1"/>
    <col min="13580" max="13824" width="9.140625" style="68"/>
    <col min="13825" max="13825" width="13" style="68" customWidth="1"/>
    <col min="13826" max="13827" width="15" style="68" customWidth="1"/>
    <col min="13828" max="13828" width="15.28515625" style="68" customWidth="1"/>
    <col min="13829" max="13829" width="15" style="68" customWidth="1"/>
    <col min="13830" max="13833" width="15.85546875" style="68" customWidth="1"/>
    <col min="13834" max="13834" width="15.28515625" style="68" bestFit="1" customWidth="1"/>
    <col min="13835" max="13835" width="14.85546875" style="68" customWidth="1"/>
    <col min="13836" max="14080" width="9.140625" style="68"/>
    <col min="14081" max="14081" width="13" style="68" customWidth="1"/>
    <col min="14082" max="14083" width="15" style="68" customWidth="1"/>
    <col min="14084" max="14084" width="15.28515625" style="68" customWidth="1"/>
    <col min="14085" max="14085" width="15" style="68" customWidth="1"/>
    <col min="14086" max="14089" width="15.85546875" style="68" customWidth="1"/>
    <col min="14090" max="14090" width="15.28515625" style="68" bestFit="1" customWidth="1"/>
    <col min="14091" max="14091" width="14.85546875" style="68" customWidth="1"/>
    <col min="14092" max="14336" width="9.140625" style="68"/>
    <col min="14337" max="14337" width="13" style="68" customWidth="1"/>
    <col min="14338" max="14339" width="15" style="68" customWidth="1"/>
    <col min="14340" max="14340" width="15.28515625" style="68" customWidth="1"/>
    <col min="14341" max="14341" width="15" style="68" customWidth="1"/>
    <col min="14342" max="14345" width="15.85546875" style="68" customWidth="1"/>
    <col min="14346" max="14346" width="15.28515625" style="68" bestFit="1" customWidth="1"/>
    <col min="14347" max="14347" width="14.85546875" style="68" customWidth="1"/>
    <col min="14348" max="14592" width="9.140625" style="68"/>
    <col min="14593" max="14593" width="13" style="68" customWidth="1"/>
    <col min="14594" max="14595" width="15" style="68" customWidth="1"/>
    <col min="14596" max="14596" width="15.28515625" style="68" customWidth="1"/>
    <col min="14597" max="14597" width="15" style="68" customWidth="1"/>
    <col min="14598" max="14601" width="15.85546875" style="68" customWidth="1"/>
    <col min="14602" max="14602" width="15.28515625" style="68" bestFit="1" customWidth="1"/>
    <col min="14603" max="14603" width="14.85546875" style="68" customWidth="1"/>
    <col min="14604" max="14848" width="9.140625" style="68"/>
    <col min="14849" max="14849" width="13" style="68" customWidth="1"/>
    <col min="14850" max="14851" width="15" style="68" customWidth="1"/>
    <col min="14852" max="14852" width="15.28515625" style="68" customWidth="1"/>
    <col min="14853" max="14853" width="15" style="68" customWidth="1"/>
    <col min="14854" max="14857" width="15.85546875" style="68" customWidth="1"/>
    <col min="14858" max="14858" width="15.28515625" style="68" bestFit="1" customWidth="1"/>
    <col min="14859" max="14859" width="14.85546875" style="68" customWidth="1"/>
    <col min="14860" max="15104" width="9.140625" style="68"/>
    <col min="15105" max="15105" width="13" style="68" customWidth="1"/>
    <col min="15106" max="15107" width="15" style="68" customWidth="1"/>
    <col min="15108" max="15108" width="15.28515625" style="68" customWidth="1"/>
    <col min="15109" max="15109" width="15" style="68" customWidth="1"/>
    <col min="15110" max="15113" width="15.85546875" style="68" customWidth="1"/>
    <col min="15114" max="15114" width="15.28515625" style="68" bestFit="1" customWidth="1"/>
    <col min="15115" max="15115" width="14.85546875" style="68" customWidth="1"/>
    <col min="15116" max="15360" width="9.140625" style="68"/>
    <col min="15361" max="15361" width="13" style="68" customWidth="1"/>
    <col min="15362" max="15363" width="15" style="68" customWidth="1"/>
    <col min="15364" max="15364" width="15.28515625" style="68" customWidth="1"/>
    <col min="15365" max="15365" width="15" style="68" customWidth="1"/>
    <col min="15366" max="15369" width="15.85546875" style="68" customWidth="1"/>
    <col min="15370" max="15370" width="15.28515625" style="68" bestFit="1" customWidth="1"/>
    <col min="15371" max="15371" width="14.85546875" style="68" customWidth="1"/>
    <col min="15372" max="15616" width="9.140625" style="68"/>
    <col min="15617" max="15617" width="13" style="68" customWidth="1"/>
    <col min="15618" max="15619" width="15" style="68" customWidth="1"/>
    <col min="15620" max="15620" width="15.28515625" style="68" customWidth="1"/>
    <col min="15621" max="15621" width="15" style="68" customWidth="1"/>
    <col min="15622" max="15625" width="15.85546875" style="68" customWidth="1"/>
    <col min="15626" max="15626" width="15.28515625" style="68" bestFit="1" customWidth="1"/>
    <col min="15627" max="15627" width="14.85546875" style="68" customWidth="1"/>
    <col min="15628" max="15872" width="9.140625" style="68"/>
    <col min="15873" max="15873" width="13" style="68" customWidth="1"/>
    <col min="15874" max="15875" width="15" style="68" customWidth="1"/>
    <col min="15876" max="15876" width="15.28515625" style="68" customWidth="1"/>
    <col min="15877" max="15877" width="15" style="68" customWidth="1"/>
    <col min="15878" max="15881" width="15.85546875" style="68" customWidth="1"/>
    <col min="15882" max="15882" width="15.28515625" style="68" bestFit="1" customWidth="1"/>
    <col min="15883" max="15883" width="14.85546875" style="68" customWidth="1"/>
    <col min="15884" max="16128" width="9.140625" style="68"/>
    <col min="16129" max="16129" width="13" style="68" customWidth="1"/>
    <col min="16130" max="16131" width="15" style="68" customWidth="1"/>
    <col min="16132" max="16132" width="15.28515625" style="68" customWidth="1"/>
    <col min="16133" max="16133" width="15" style="68" customWidth="1"/>
    <col min="16134" max="16137" width="15.85546875" style="68" customWidth="1"/>
    <col min="16138" max="16138" width="15.28515625" style="68" bestFit="1" customWidth="1"/>
    <col min="16139" max="16139" width="14.85546875" style="68" customWidth="1"/>
    <col min="16140" max="16384" width="9.140625" style="68"/>
  </cols>
  <sheetData>
    <row r="1" spans="1:14" x14ac:dyDescent="0.2">
      <c r="A1" s="68" t="s">
        <v>157</v>
      </c>
    </row>
    <row r="2" spans="1:14" x14ac:dyDescent="0.2">
      <c r="A2" s="68" t="s">
        <v>158</v>
      </c>
    </row>
    <row r="3" spans="1:14" x14ac:dyDescent="0.2">
      <c r="A3" s="68" t="s">
        <v>159</v>
      </c>
    </row>
    <row r="4" spans="1:14" x14ac:dyDescent="0.2">
      <c r="A4" s="68" t="s">
        <v>160</v>
      </c>
    </row>
    <row r="5" spans="1:14" ht="13.5" thickBot="1" x14ac:dyDescent="0.25">
      <c r="A5" s="69" t="s">
        <v>161</v>
      </c>
      <c r="B5" s="69"/>
      <c r="C5" s="69"/>
      <c r="D5" s="69"/>
      <c r="E5" s="69"/>
    </row>
    <row r="6" spans="1:14" ht="51.75" thickBot="1" x14ac:dyDescent="0.25">
      <c r="A6" s="68" t="s">
        <v>162</v>
      </c>
      <c r="B6" s="70" t="s">
        <v>163</v>
      </c>
      <c r="C6" s="70" t="s">
        <v>164</v>
      </c>
      <c r="D6" s="70" t="s">
        <v>165</v>
      </c>
      <c r="E6" s="70" t="s">
        <v>166</v>
      </c>
      <c r="F6" s="71" t="s">
        <v>167</v>
      </c>
      <c r="G6" s="71" t="s">
        <v>168</v>
      </c>
      <c r="H6" s="71" t="s">
        <v>169</v>
      </c>
      <c r="I6" s="71" t="s">
        <v>170</v>
      </c>
      <c r="J6" s="70" t="s">
        <v>171</v>
      </c>
      <c r="K6" s="72" t="s">
        <v>172</v>
      </c>
      <c r="L6" s="68" t="s">
        <v>39</v>
      </c>
    </row>
    <row r="7" spans="1:14" s="75" customFormat="1" x14ac:dyDescent="0.2">
      <c r="A7" s="73">
        <v>40238</v>
      </c>
      <c r="B7" s="74">
        <v>0</v>
      </c>
      <c r="C7" s="74">
        <v>0</v>
      </c>
      <c r="D7" s="75">
        <v>0</v>
      </c>
      <c r="E7" s="74">
        <f>C11/5</f>
        <v>27916</v>
      </c>
      <c r="F7" s="74">
        <f>D7+E7</f>
        <v>27916</v>
      </c>
      <c r="G7" s="74">
        <v>1562.5</v>
      </c>
      <c r="H7" s="74"/>
      <c r="I7" s="74"/>
      <c r="J7" s="75" t="s">
        <v>39</v>
      </c>
      <c r="K7" s="75" t="s">
        <v>173</v>
      </c>
    </row>
    <row r="8" spans="1:14" s="75" customFormat="1" ht="15" x14ac:dyDescent="0.25">
      <c r="A8" s="73">
        <v>40269</v>
      </c>
      <c r="B8" s="74">
        <v>0</v>
      </c>
      <c r="C8" s="74">
        <v>0</v>
      </c>
      <c r="D8" s="75">
        <v>0</v>
      </c>
      <c r="E8" s="74">
        <f>C11/5</f>
        <v>27916</v>
      </c>
      <c r="F8" s="74">
        <f t="shared" ref="F8:F71" si="0">D8+E8</f>
        <v>27916</v>
      </c>
      <c r="G8" s="74">
        <v>1562.5</v>
      </c>
      <c r="H8" s="74">
        <f>+(K9*0.001)/12+612.92</f>
        <v>1225.8366666666666</v>
      </c>
      <c r="I8" s="74"/>
      <c r="K8" s="76">
        <v>7355000</v>
      </c>
      <c r="L8" s="75" t="s">
        <v>174</v>
      </c>
    </row>
    <row r="9" spans="1:14" ht="15" x14ac:dyDescent="0.25">
      <c r="A9" s="77">
        <v>40299</v>
      </c>
      <c r="B9" s="78">
        <v>0</v>
      </c>
      <c r="C9" s="78">
        <v>0</v>
      </c>
      <c r="D9" s="68">
        <v>0</v>
      </c>
      <c r="E9" s="78">
        <f>C11/5</f>
        <v>27916</v>
      </c>
      <c r="F9" s="79">
        <f t="shared" si="0"/>
        <v>27916</v>
      </c>
      <c r="G9" s="79">
        <v>1562.5</v>
      </c>
      <c r="H9" s="79">
        <f t="shared" ref="H9:H72" si="1">+(K10*0.001)/12</f>
        <v>612.91666666666663</v>
      </c>
      <c r="I9" s="79">
        <f t="shared" ref="I9:I72" si="2">+F9+G9+H9</f>
        <v>30091.416666666668</v>
      </c>
      <c r="K9" s="80">
        <f>+K8-B8</f>
        <v>7355000</v>
      </c>
    </row>
    <row r="10" spans="1:14" ht="15" x14ac:dyDescent="0.25">
      <c r="A10" s="77">
        <v>40330</v>
      </c>
      <c r="B10" s="78">
        <v>0</v>
      </c>
      <c r="C10" s="78">
        <v>0</v>
      </c>
      <c r="D10" s="68">
        <v>0</v>
      </c>
      <c r="E10" s="78">
        <f>C11/5</f>
        <v>27916</v>
      </c>
      <c r="F10" s="79">
        <f t="shared" si="0"/>
        <v>27916</v>
      </c>
      <c r="G10" s="79">
        <v>1562.5</v>
      </c>
      <c r="H10" s="79">
        <f t="shared" si="1"/>
        <v>612.91666666666663</v>
      </c>
      <c r="I10" s="79">
        <f t="shared" si="2"/>
        <v>30091.416666666668</v>
      </c>
      <c r="K10" s="80">
        <f t="shared" ref="K10:K73" si="3">+K9-B9</f>
        <v>7355000</v>
      </c>
    </row>
    <row r="11" spans="1:14" ht="15" x14ac:dyDescent="0.25">
      <c r="A11" s="77">
        <v>40360</v>
      </c>
      <c r="B11" s="78">
        <v>0</v>
      </c>
      <c r="C11" s="78">
        <v>139580</v>
      </c>
      <c r="D11" s="68">
        <v>0</v>
      </c>
      <c r="E11" s="78">
        <f>C11/5</f>
        <v>27916</v>
      </c>
      <c r="F11" s="79">
        <f t="shared" si="0"/>
        <v>27916</v>
      </c>
      <c r="G11" s="79">
        <v>1562.5</v>
      </c>
      <c r="H11" s="79">
        <f t="shared" si="1"/>
        <v>612.91666666666663</v>
      </c>
      <c r="I11" s="79">
        <f t="shared" si="2"/>
        <v>30091.416666666668</v>
      </c>
      <c r="J11" s="78">
        <f>SUM(F7:F11)</f>
        <v>139580</v>
      </c>
      <c r="K11" s="80">
        <f t="shared" si="3"/>
        <v>7355000</v>
      </c>
    </row>
    <row r="12" spans="1:14" ht="15" x14ac:dyDescent="0.25">
      <c r="A12" s="77">
        <v>40391</v>
      </c>
      <c r="B12" s="78">
        <v>0</v>
      </c>
      <c r="C12" s="78">
        <v>0</v>
      </c>
      <c r="D12" s="78">
        <f>B23/12</f>
        <v>8750</v>
      </c>
      <c r="E12" s="78">
        <f>C17/6</f>
        <v>33233.333333333336</v>
      </c>
      <c r="F12" s="79">
        <f t="shared" si="0"/>
        <v>41983.333333333336</v>
      </c>
      <c r="G12" s="79">
        <v>1562.5</v>
      </c>
      <c r="H12" s="79">
        <f t="shared" si="1"/>
        <v>612.91666666666663</v>
      </c>
      <c r="I12" s="79">
        <f t="shared" si="2"/>
        <v>44158.75</v>
      </c>
      <c r="K12" s="80">
        <f t="shared" si="3"/>
        <v>7355000</v>
      </c>
    </row>
    <row r="13" spans="1:14" ht="15" x14ac:dyDescent="0.25">
      <c r="A13" s="77">
        <v>40422</v>
      </c>
      <c r="B13" s="78">
        <v>0</v>
      </c>
      <c r="C13" s="78">
        <v>0</v>
      </c>
      <c r="D13" s="78">
        <f>B23/12</f>
        <v>8750</v>
      </c>
      <c r="E13" s="78">
        <f>C17/6</f>
        <v>33233.333333333336</v>
      </c>
      <c r="F13" s="79">
        <f t="shared" si="0"/>
        <v>41983.333333333336</v>
      </c>
      <c r="G13" s="79">
        <v>1562.5</v>
      </c>
      <c r="H13" s="79">
        <f t="shared" si="1"/>
        <v>612.91666666666663</v>
      </c>
      <c r="I13" s="79">
        <f t="shared" si="2"/>
        <v>44158.75</v>
      </c>
      <c r="K13" s="80">
        <f t="shared" si="3"/>
        <v>7355000</v>
      </c>
    </row>
    <row r="14" spans="1:14" ht="15" x14ac:dyDescent="0.25">
      <c r="A14" s="77">
        <v>40452</v>
      </c>
      <c r="B14" s="78">
        <v>0</v>
      </c>
      <c r="C14" s="78">
        <v>0</v>
      </c>
      <c r="D14" s="78">
        <f>B23/12</f>
        <v>8750</v>
      </c>
      <c r="E14" s="78">
        <f>C17/6</f>
        <v>33233.333333333336</v>
      </c>
      <c r="F14" s="79">
        <f t="shared" si="0"/>
        <v>41983.333333333336</v>
      </c>
      <c r="G14" s="79">
        <v>1562.5</v>
      </c>
      <c r="H14" s="79">
        <f t="shared" si="1"/>
        <v>612.91666666666663</v>
      </c>
      <c r="I14" s="79">
        <f t="shared" si="2"/>
        <v>44158.75</v>
      </c>
      <c r="K14" s="80">
        <f t="shared" si="3"/>
        <v>7355000</v>
      </c>
    </row>
    <row r="15" spans="1:14" ht="15" x14ac:dyDescent="0.25">
      <c r="A15" s="77">
        <v>40483</v>
      </c>
      <c r="B15" s="78">
        <v>0</v>
      </c>
      <c r="C15" s="78">
        <v>0</v>
      </c>
      <c r="D15" s="78">
        <f>B23/12</f>
        <v>8750</v>
      </c>
      <c r="E15" s="78">
        <f>C17/6</f>
        <v>33233.333333333336</v>
      </c>
      <c r="F15" s="79">
        <f t="shared" si="0"/>
        <v>41983.333333333336</v>
      </c>
      <c r="G15" s="79">
        <v>1562.5</v>
      </c>
      <c r="H15" s="79">
        <f t="shared" si="1"/>
        <v>612.91666666666663</v>
      </c>
      <c r="I15" s="79">
        <f t="shared" si="2"/>
        <v>44158.75</v>
      </c>
      <c r="K15" s="80">
        <f t="shared" si="3"/>
        <v>7355000</v>
      </c>
    </row>
    <row r="16" spans="1:14" ht="15" x14ac:dyDescent="0.25">
      <c r="A16" s="77">
        <v>40513</v>
      </c>
      <c r="B16" s="78">
        <v>0</v>
      </c>
      <c r="C16" s="78">
        <v>0</v>
      </c>
      <c r="D16" s="78">
        <f>B23/12</f>
        <v>8750</v>
      </c>
      <c r="E16" s="78">
        <f>C17/6</f>
        <v>33233.333333333336</v>
      </c>
      <c r="F16" s="79">
        <f t="shared" si="0"/>
        <v>41983.333333333336</v>
      </c>
      <c r="G16" s="79">
        <v>1562.5</v>
      </c>
      <c r="H16" s="79">
        <f t="shared" si="1"/>
        <v>612.91666666666663</v>
      </c>
      <c r="I16" s="79">
        <f t="shared" si="2"/>
        <v>44158.75</v>
      </c>
      <c r="K16" s="80">
        <f t="shared" si="3"/>
        <v>7355000</v>
      </c>
      <c r="N16" s="68" t="s">
        <v>39</v>
      </c>
    </row>
    <row r="17" spans="1:12" ht="15" x14ac:dyDescent="0.25">
      <c r="A17" s="77">
        <v>40544</v>
      </c>
      <c r="B17" s="78">
        <v>0</v>
      </c>
      <c r="C17" s="78">
        <v>199400</v>
      </c>
      <c r="D17" s="78">
        <f>B23/12</f>
        <v>8750</v>
      </c>
      <c r="E17" s="78">
        <f>C17/6</f>
        <v>33233.333333333336</v>
      </c>
      <c r="F17" s="79">
        <f t="shared" si="0"/>
        <v>41983.333333333336</v>
      </c>
      <c r="G17" s="79">
        <v>1562.5</v>
      </c>
      <c r="H17" s="79">
        <f t="shared" si="1"/>
        <v>612.91666666666663</v>
      </c>
      <c r="I17" s="79">
        <f t="shared" si="2"/>
        <v>44158.75</v>
      </c>
      <c r="K17" s="80">
        <f t="shared" si="3"/>
        <v>7355000</v>
      </c>
    </row>
    <row r="18" spans="1:12" ht="15" x14ac:dyDescent="0.25">
      <c r="A18" s="77">
        <v>40575</v>
      </c>
      <c r="B18" s="78">
        <v>0</v>
      </c>
      <c r="C18" s="78">
        <v>0</v>
      </c>
      <c r="D18" s="78">
        <f>B23/12</f>
        <v>8750</v>
      </c>
      <c r="E18" s="78">
        <f>C23/6</f>
        <v>33233.333333333336</v>
      </c>
      <c r="F18" s="79">
        <f t="shared" si="0"/>
        <v>41983.333333333336</v>
      </c>
      <c r="G18" s="79">
        <v>1562.5</v>
      </c>
      <c r="H18" s="79">
        <f t="shared" si="1"/>
        <v>612.91666666666663</v>
      </c>
      <c r="I18" s="79">
        <f t="shared" si="2"/>
        <v>44158.75</v>
      </c>
      <c r="K18" s="80">
        <f t="shared" si="3"/>
        <v>7355000</v>
      </c>
    </row>
    <row r="19" spans="1:12" ht="15" x14ac:dyDescent="0.25">
      <c r="A19" s="77">
        <v>40603</v>
      </c>
      <c r="B19" s="78">
        <v>0</v>
      </c>
      <c r="C19" s="78">
        <v>0</v>
      </c>
      <c r="D19" s="78">
        <f>B23/12</f>
        <v>8750</v>
      </c>
      <c r="E19" s="78">
        <f>C23/6</f>
        <v>33233.333333333336</v>
      </c>
      <c r="F19" s="79">
        <f t="shared" si="0"/>
        <v>41983.333333333336</v>
      </c>
      <c r="G19" s="79">
        <v>1562.5</v>
      </c>
      <c r="H19" s="79">
        <f t="shared" si="1"/>
        <v>612.91666666666663</v>
      </c>
      <c r="I19" s="79">
        <f t="shared" si="2"/>
        <v>44158.75</v>
      </c>
      <c r="K19" s="80">
        <f t="shared" si="3"/>
        <v>7355000</v>
      </c>
    </row>
    <row r="20" spans="1:12" ht="15" x14ac:dyDescent="0.25">
      <c r="A20" s="77">
        <v>40634</v>
      </c>
      <c r="B20" s="78">
        <v>0</v>
      </c>
      <c r="C20" s="78">
        <v>0</v>
      </c>
      <c r="D20" s="78">
        <f>B23/12</f>
        <v>8750</v>
      </c>
      <c r="E20" s="78">
        <f>C23/6</f>
        <v>33233.333333333336</v>
      </c>
      <c r="F20" s="79">
        <f t="shared" si="0"/>
        <v>41983.333333333336</v>
      </c>
      <c r="G20" s="79">
        <v>1562.5</v>
      </c>
      <c r="H20" s="79">
        <f t="shared" si="1"/>
        <v>612.91666666666663</v>
      </c>
      <c r="I20" s="79">
        <f t="shared" si="2"/>
        <v>44158.75</v>
      </c>
      <c r="K20" s="80">
        <f t="shared" si="3"/>
        <v>7355000</v>
      </c>
    </row>
    <row r="21" spans="1:12" ht="15" x14ac:dyDescent="0.25">
      <c r="A21" s="77">
        <v>40664</v>
      </c>
      <c r="B21" s="78">
        <v>0</v>
      </c>
      <c r="C21" s="78">
        <v>0</v>
      </c>
      <c r="D21" s="78">
        <f>B23/12</f>
        <v>8750</v>
      </c>
      <c r="E21" s="78">
        <f>C23/6</f>
        <v>33233.333333333336</v>
      </c>
      <c r="F21" s="79">
        <f t="shared" si="0"/>
        <v>41983.333333333336</v>
      </c>
      <c r="G21" s="79">
        <v>1562.5</v>
      </c>
      <c r="H21" s="79">
        <f t="shared" si="1"/>
        <v>612.91666666666663</v>
      </c>
      <c r="I21" s="79">
        <f t="shared" si="2"/>
        <v>44158.75</v>
      </c>
      <c r="K21" s="80">
        <f t="shared" si="3"/>
        <v>7355000</v>
      </c>
    </row>
    <row r="22" spans="1:12" ht="15" x14ac:dyDescent="0.25">
      <c r="A22" s="77">
        <v>40695</v>
      </c>
      <c r="B22" s="78">
        <v>0</v>
      </c>
      <c r="C22" s="78">
        <v>0</v>
      </c>
      <c r="D22" s="78">
        <f>B23/12</f>
        <v>8750</v>
      </c>
      <c r="E22" s="78">
        <f>C23/6</f>
        <v>33233.333333333336</v>
      </c>
      <c r="F22" s="79">
        <f t="shared" si="0"/>
        <v>41983.333333333336</v>
      </c>
      <c r="G22" s="79">
        <v>1562.5</v>
      </c>
      <c r="H22" s="79">
        <f t="shared" si="1"/>
        <v>612.91666666666663</v>
      </c>
      <c r="I22" s="79">
        <f t="shared" si="2"/>
        <v>44158.75</v>
      </c>
      <c r="K22" s="80">
        <f t="shared" si="3"/>
        <v>7355000</v>
      </c>
    </row>
    <row r="23" spans="1:12" ht="15" x14ac:dyDescent="0.25">
      <c r="A23" s="77">
        <v>40725</v>
      </c>
      <c r="B23" s="78">
        <v>105000</v>
      </c>
      <c r="C23" s="78">
        <v>199400</v>
      </c>
      <c r="D23" s="78">
        <f>B23/12</f>
        <v>8750</v>
      </c>
      <c r="E23" s="78">
        <f>C23/6</f>
        <v>33233.333333333336</v>
      </c>
      <c r="F23" s="79">
        <f t="shared" si="0"/>
        <v>41983.333333333336</v>
      </c>
      <c r="G23" s="79">
        <v>1562.5</v>
      </c>
      <c r="H23" s="79">
        <f t="shared" si="1"/>
        <v>604.16666666666663</v>
      </c>
      <c r="I23" s="79">
        <f t="shared" si="2"/>
        <v>44150</v>
      </c>
      <c r="J23" s="78">
        <f>SUM(F12:F23)</f>
        <v>503799.99999999994</v>
      </c>
      <c r="K23" s="80">
        <f t="shared" si="3"/>
        <v>7355000</v>
      </c>
    </row>
    <row r="24" spans="1:12" ht="15" x14ac:dyDescent="0.25">
      <c r="A24" s="77">
        <v>40756</v>
      </c>
      <c r="B24" s="78">
        <v>0</v>
      </c>
      <c r="C24" s="78">
        <v>0</v>
      </c>
      <c r="D24" s="78">
        <f>B35/12</f>
        <v>9166.6666666666661</v>
      </c>
      <c r="E24" s="78">
        <f>C29/6</f>
        <v>32773.958333333336</v>
      </c>
      <c r="F24" s="79">
        <f t="shared" si="0"/>
        <v>41940.625</v>
      </c>
      <c r="G24" s="79">
        <v>1562.5</v>
      </c>
      <c r="H24" s="79">
        <f t="shared" si="1"/>
        <v>604.16666666666663</v>
      </c>
      <c r="I24" s="79">
        <f t="shared" si="2"/>
        <v>44107.291666666664</v>
      </c>
      <c r="K24" s="80">
        <f t="shared" si="3"/>
        <v>7250000</v>
      </c>
    </row>
    <row r="25" spans="1:12" ht="15" x14ac:dyDescent="0.25">
      <c r="A25" s="77">
        <v>40787</v>
      </c>
      <c r="B25" s="78">
        <v>0</v>
      </c>
      <c r="C25" s="78">
        <v>0</v>
      </c>
      <c r="D25" s="78">
        <f>B35/12</f>
        <v>9166.6666666666661</v>
      </c>
      <c r="E25" s="78">
        <f>C29/6</f>
        <v>32773.958333333336</v>
      </c>
      <c r="F25" s="79">
        <f t="shared" si="0"/>
        <v>41940.625</v>
      </c>
      <c r="G25" s="79">
        <v>1562.5</v>
      </c>
      <c r="H25" s="79">
        <f t="shared" si="1"/>
        <v>604.16666666666663</v>
      </c>
      <c r="I25" s="79">
        <f t="shared" si="2"/>
        <v>44107.291666666664</v>
      </c>
      <c r="K25" s="80">
        <f t="shared" si="3"/>
        <v>7250000</v>
      </c>
      <c r="L25" s="68" t="s">
        <v>39</v>
      </c>
    </row>
    <row r="26" spans="1:12" ht="15" x14ac:dyDescent="0.25">
      <c r="A26" s="77">
        <v>40817</v>
      </c>
      <c r="B26" s="78">
        <v>0</v>
      </c>
      <c r="C26" s="78">
        <v>0</v>
      </c>
      <c r="D26" s="78">
        <f>B35/12</f>
        <v>9166.6666666666661</v>
      </c>
      <c r="E26" s="78">
        <f>C29/6</f>
        <v>32773.958333333336</v>
      </c>
      <c r="F26" s="79">
        <f t="shared" si="0"/>
        <v>41940.625</v>
      </c>
      <c r="G26" s="79">
        <v>1562.5</v>
      </c>
      <c r="H26" s="79">
        <f t="shared" si="1"/>
        <v>604.16666666666663</v>
      </c>
      <c r="I26" s="79">
        <f t="shared" si="2"/>
        <v>44107.291666666664</v>
      </c>
      <c r="K26" s="80">
        <f t="shared" si="3"/>
        <v>7250000</v>
      </c>
    </row>
    <row r="27" spans="1:12" ht="15" x14ac:dyDescent="0.25">
      <c r="A27" s="77">
        <v>40848</v>
      </c>
      <c r="B27" s="78">
        <v>0</v>
      </c>
      <c r="C27" s="78">
        <v>0</v>
      </c>
      <c r="D27" s="78">
        <f>B35/12</f>
        <v>9166.6666666666661</v>
      </c>
      <c r="E27" s="78">
        <f>C29/6</f>
        <v>32773.958333333336</v>
      </c>
      <c r="F27" s="79">
        <f t="shared" si="0"/>
        <v>41940.625</v>
      </c>
      <c r="G27" s="79">
        <v>1562.5</v>
      </c>
      <c r="H27" s="79">
        <f t="shared" si="1"/>
        <v>604.16666666666663</v>
      </c>
      <c r="I27" s="79">
        <f t="shared" si="2"/>
        <v>44107.291666666664</v>
      </c>
      <c r="K27" s="80">
        <f t="shared" si="3"/>
        <v>7250000</v>
      </c>
    </row>
    <row r="28" spans="1:12" ht="15" x14ac:dyDescent="0.25">
      <c r="A28" s="77">
        <v>40878</v>
      </c>
      <c r="B28" s="78">
        <v>0</v>
      </c>
      <c r="C28" s="78">
        <v>0</v>
      </c>
      <c r="D28" s="78">
        <f>B35/12</f>
        <v>9166.6666666666661</v>
      </c>
      <c r="E28" s="78">
        <f>C29/6</f>
        <v>32773.958333333336</v>
      </c>
      <c r="F28" s="79">
        <f t="shared" si="0"/>
        <v>41940.625</v>
      </c>
      <c r="G28" s="79">
        <v>1562.5</v>
      </c>
      <c r="H28" s="79">
        <f t="shared" si="1"/>
        <v>604.16666666666663</v>
      </c>
      <c r="I28" s="79">
        <f t="shared" si="2"/>
        <v>44107.291666666664</v>
      </c>
      <c r="K28" s="80">
        <f t="shared" si="3"/>
        <v>7250000</v>
      </c>
    </row>
    <row r="29" spans="1:12" ht="15" x14ac:dyDescent="0.25">
      <c r="A29" s="77">
        <v>40909</v>
      </c>
      <c r="B29" s="78">
        <v>0</v>
      </c>
      <c r="C29" s="78">
        <v>196643.75</v>
      </c>
      <c r="D29" s="78">
        <f>B35/12</f>
        <v>9166.6666666666661</v>
      </c>
      <c r="E29" s="78">
        <f>C29/6</f>
        <v>32773.958333333336</v>
      </c>
      <c r="F29" s="79">
        <f t="shared" si="0"/>
        <v>41940.625</v>
      </c>
      <c r="G29" s="79">
        <v>1562.5</v>
      </c>
      <c r="H29" s="79">
        <f t="shared" si="1"/>
        <v>604.16666666666663</v>
      </c>
      <c r="I29" s="79">
        <f t="shared" si="2"/>
        <v>44107.291666666664</v>
      </c>
      <c r="K29" s="80">
        <f t="shared" si="3"/>
        <v>7250000</v>
      </c>
    </row>
    <row r="30" spans="1:12" ht="15" x14ac:dyDescent="0.25">
      <c r="A30" s="77">
        <v>40940</v>
      </c>
      <c r="B30" s="78">
        <v>0</v>
      </c>
      <c r="C30" s="78">
        <v>0</v>
      </c>
      <c r="D30" s="78">
        <f>B35/12</f>
        <v>9166.6666666666661</v>
      </c>
      <c r="E30" s="78">
        <f>C35/6</f>
        <v>32773.958333333336</v>
      </c>
      <c r="F30" s="79">
        <f t="shared" si="0"/>
        <v>41940.625</v>
      </c>
      <c r="G30" s="79">
        <v>1562.5</v>
      </c>
      <c r="H30" s="79">
        <f t="shared" si="1"/>
        <v>604.16666666666663</v>
      </c>
      <c r="I30" s="79">
        <f t="shared" si="2"/>
        <v>44107.291666666664</v>
      </c>
      <c r="J30" s="81"/>
      <c r="K30" s="80">
        <f t="shared" si="3"/>
        <v>7250000</v>
      </c>
    </row>
    <row r="31" spans="1:12" ht="15" x14ac:dyDescent="0.25">
      <c r="A31" s="77">
        <v>40969</v>
      </c>
      <c r="B31" s="78">
        <v>0</v>
      </c>
      <c r="C31" s="78">
        <v>0</v>
      </c>
      <c r="D31" s="78">
        <f>B35/12</f>
        <v>9166.6666666666661</v>
      </c>
      <c r="E31" s="78">
        <f>C35/6</f>
        <v>32773.958333333336</v>
      </c>
      <c r="F31" s="79">
        <f t="shared" si="0"/>
        <v>41940.625</v>
      </c>
      <c r="G31" s="79">
        <v>1562.5</v>
      </c>
      <c r="H31" s="79">
        <f t="shared" si="1"/>
        <v>604.16666666666663</v>
      </c>
      <c r="I31" s="79">
        <f t="shared" si="2"/>
        <v>44107.291666666664</v>
      </c>
      <c r="K31" s="80">
        <f t="shared" si="3"/>
        <v>7250000</v>
      </c>
    </row>
    <row r="32" spans="1:12" ht="15" x14ac:dyDescent="0.25">
      <c r="A32" s="77">
        <v>41000</v>
      </c>
      <c r="B32" s="78">
        <v>0</v>
      </c>
      <c r="C32" s="78">
        <v>0</v>
      </c>
      <c r="D32" s="78">
        <f>B35/12</f>
        <v>9166.6666666666661</v>
      </c>
      <c r="E32" s="78">
        <f>C35/6</f>
        <v>32773.958333333336</v>
      </c>
      <c r="F32" s="79">
        <f t="shared" si="0"/>
        <v>41940.625</v>
      </c>
      <c r="G32" s="79">
        <v>1562.5</v>
      </c>
      <c r="H32" s="79">
        <f t="shared" si="1"/>
        <v>604.16666666666663</v>
      </c>
      <c r="I32" s="79">
        <f t="shared" si="2"/>
        <v>44107.291666666664</v>
      </c>
      <c r="K32" s="80">
        <f t="shared" si="3"/>
        <v>7250000</v>
      </c>
    </row>
    <row r="33" spans="1:11" ht="15" x14ac:dyDescent="0.25">
      <c r="A33" s="77">
        <v>41030</v>
      </c>
      <c r="B33" s="78">
        <v>0</v>
      </c>
      <c r="C33" s="78">
        <v>0</v>
      </c>
      <c r="D33" s="78">
        <f>B35/12</f>
        <v>9166.6666666666661</v>
      </c>
      <c r="E33" s="78">
        <f>C35/6</f>
        <v>32773.958333333336</v>
      </c>
      <c r="F33" s="79">
        <f t="shared" si="0"/>
        <v>41940.625</v>
      </c>
      <c r="G33" s="79">
        <v>1562.5</v>
      </c>
      <c r="H33" s="79">
        <f t="shared" si="1"/>
        <v>604.16666666666663</v>
      </c>
      <c r="I33" s="79">
        <f t="shared" si="2"/>
        <v>44107.291666666664</v>
      </c>
      <c r="K33" s="80">
        <f t="shared" si="3"/>
        <v>7250000</v>
      </c>
    </row>
    <row r="34" spans="1:11" ht="15" x14ac:dyDescent="0.25">
      <c r="A34" s="77">
        <v>41061</v>
      </c>
      <c r="B34" s="78">
        <v>0</v>
      </c>
      <c r="C34" s="78">
        <v>0</v>
      </c>
      <c r="D34" s="78">
        <f>B35/12</f>
        <v>9166.6666666666661</v>
      </c>
      <c r="E34" s="78">
        <f>C35/6</f>
        <v>32773.958333333336</v>
      </c>
      <c r="F34" s="79">
        <f t="shared" si="0"/>
        <v>41940.625</v>
      </c>
      <c r="G34" s="79">
        <v>1562.5</v>
      </c>
      <c r="H34" s="79">
        <f t="shared" si="1"/>
        <v>604.16666666666663</v>
      </c>
      <c r="I34" s="79">
        <f t="shared" si="2"/>
        <v>44107.291666666664</v>
      </c>
      <c r="K34" s="80">
        <f t="shared" si="3"/>
        <v>7250000</v>
      </c>
    </row>
    <row r="35" spans="1:11" ht="15" x14ac:dyDescent="0.25">
      <c r="A35" s="77">
        <v>41091</v>
      </c>
      <c r="B35" s="78">
        <v>110000</v>
      </c>
      <c r="C35" s="78">
        <v>196643.75</v>
      </c>
      <c r="D35" s="78">
        <f>B35/12</f>
        <v>9166.6666666666661</v>
      </c>
      <c r="E35" s="78">
        <f>C35/6</f>
        <v>32773.958333333336</v>
      </c>
      <c r="F35" s="79">
        <f t="shared" si="0"/>
        <v>41940.625</v>
      </c>
      <c r="G35" s="79">
        <v>1562.5</v>
      </c>
      <c r="H35" s="79">
        <f t="shared" si="1"/>
        <v>595</v>
      </c>
      <c r="I35" s="79">
        <f t="shared" si="2"/>
        <v>44098.125</v>
      </c>
      <c r="J35" s="78">
        <f>SUM(F24:F35)</f>
        <v>503287.5</v>
      </c>
      <c r="K35" s="80">
        <f t="shared" si="3"/>
        <v>7250000</v>
      </c>
    </row>
    <row r="36" spans="1:11" ht="15" x14ac:dyDescent="0.25">
      <c r="A36" s="77">
        <v>41122</v>
      </c>
      <c r="B36" s="78">
        <v>0</v>
      </c>
      <c r="C36" s="78">
        <v>0</v>
      </c>
      <c r="D36" s="78">
        <f>B47/12</f>
        <v>9583.3333333333339</v>
      </c>
      <c r="E36" s="78">
        <f>C41/6</f>
        <v>32292.708333333332</v>
      </c>
      <c r="F36" s="79">
        <f t="shared" si="0"/>
        <v>41876.041666666664</v>
      </c>
      <c r="G36" s="79">
        <v>1562.5</v>
      </c>
      <c r="H36" s="79">
        <f t="shared" si="1"/>
        <v>595</v>
      </c>
      <c r="I36" s="79">
        <f t="shared" si="2"/>
        <v>44033.541666666664</v>
      </c>
      <c r="K36" s="80">
        <f t="shared" si="3"/>
        <v>7140000</v>
      </c>
    </row>
    <row r="37" spans="1:11" ht="15" x14ac:dyDescent="0.25">
      <c r="A37" s="77">
        <v>41153</v>
      </c>
      <c r="B37" s="78">
        <v>0</v>
      </c>
      <c r="C37" s="78">
        <v>0</v>
      </c>
      <c r="D37" s="78">
        <f>B47/12</f>
        <v>9583.3333333333339</v>
      </c>
      <c r="E37" s="78">
        <f>C41/6</f>
        <v>32292.708333333332</v>
      </c>
      <c r="F37" s="79">
        <f t="shared" si="0"/>
        <v>41876.041666666664</v>
      </c>
      <c r="G37" s="79">
        <v>1562.5</v>
      </c>
      <c r="H37" s="79">
        <f t="shared" si="1"/>
        <v>595</v>
      </c>
      <c r="I37" s="79">
        <f t="shared" si="2"/>
        <v>44033.541666666664</v>
      </c>
      <c r="K37" s="80">
        <f t="shared" si="3"/>
        <v>7140000</v>
      </c>
    </row>
    <row r="38" spans="1:11" ht="15" x14ac:dyDescent="0.25">
      <c r="A38" s="77">
        <v>41183</v>
      </c>
      <c r="B38" s="78">
        <v>0</v>
      </c>
      <c r="C38" s="78">
        <v>0</v>
      </c>
      <c r="D38" s="78">
        <f>B47/12</f>
        <v>9583.3333333333339</v>
      </c>
      <c r="E38" s="78">
        <f>C41/6</f>
        <v>32292.708333333332</v>
      </c>
      <c r="F38" s="79">
        <f t="shared" si="0"/>
        <v>41876.041666666664</v>
      </c>
      <c r="G38" s="79">
        <v>1562.5</v>
      </c>
      <c r="H38" s="79">
        <f t="shared" si="1"/>
        <v>595</v>
      </c>
      <c r="I38" s="79">
        <f t="shared" si="2"/>
        <v>44033.541666666664</v>
      </c>
      <c r="K38" s="80">
        <f t="shared" si="3"/>
        <v>7140000</v>
      </c>
    </row>
    <row r="39" spans="1:11" ht="15" x14ac:dyDescent="0.25">
      <c r="A39" s="77">
        <v>41214</v>
      </c>
      <c r="B39" s="78">
        <v>0</v>
      </c>
      <c r="C39" s="78">
        <v>0</v>
      </c>
      <c r="D39" s="78">
        <f>B47/12</f>
        <v>9583.3333333333339</v>
      </c>
      <c r="E39" s="78">
        <f>C41/6</f>
        <v>32292.708333333332</v>
      </c>
      <c r="F39" s="79">
        <f t="shared" si="0"/>
        <v>41876.041666666664</v>
      </c>
      <c r="G39" s="79">
        <v>1562.5</v>
      </c>
      <c r="H39" s="79">
        <f t="shared" si="1"/>
        <v>595</v>
      </c>
      <c r="I39" s="79">
        <f t="shared" si="2"/>
        <v>44033.541666666664</v>
      </c>
      <c r="K39" s="80">
        <f t="shared" si="3"/>
        <v>7140000</v>
      </c>
    </row>
    <row r="40" spans="1:11" ht="15" x14ac:dyDescent="0.25">
      <c r="A40" s="77">
        <v>41244</v>
      </c>
      <c r="B40" s="78">
        <v>0</v>
      </c>
      <c r="C40" s="78">
        <v>0</v>
      </c>
      <c r="D40" s="78">
        <f>B47/12</f>
        <v>9583.3333333333339</v>
      </c>
      <c r="E40" s="78">
        <f>C41/6</f>
        <v>32292.708333333332</v>
      </c>
      <c r="F40" s="79">
        <f t="shared" si="0"/>
        <v>41876.041666666664</v>
      </c>
      <c r="G40" s="79">
        <v>1562.5</v>
      </c>
      <c r="H40" s="79">
        <f t="shared" si="1"/>
        <v>595</v>
      </c>
      <c r="I40" s="79">
        <f t="shared" si="2"/>
        <v>44033.541666666664</v>
      </c>
      <c r="K40" s="80">
        <f t="shared" si="3"/>
        <v>7140000</v>
      </c>
    </row>
    <row r="41" spans="1:11" ht="15" x14ac:dyDescent="0.25">
      <c r="A41" s="77">
        <v>41275</v>
      </c>
      <c r="B41" s="78">
        <v>0</v>
      </c>
      <c r="C41" s="78">
        <v>193756.25</v>
      </c>
      <c r="D41" s="78">
        <f>B47/12</f>
        <v>9583.3333333333339</v>
      </c>
      <c r="E41" s="78">
        <f>C41/6</f>
        <v>32292.708333333332</v>
      </c>
      <c r="F41" s="79">
        <f t="shared" si="0"/>
        <v>41876.041666666664</v>
      </c>
      <c r="G41" s="79">
        <v>1562.5</v>
      </c>
      <c r="H41" s="79">
        <f t="shared" si="1"/>
        <v>595</v>
      </c>
      <c r="I41" s="79">
        <f t="shared" si="2"/>
        <v>44033.541666666664</v>
      </c>
      <c r="K41" s="80">
        <f t="shared" si="3"/>
        <v>7140000</v>
      </c>
    </row>
    <row r="42" spans="1:11" ht="15" x14ac:dyDescent="0.25">
      <c r="A42" s="77">
        <v>41306</v>
      </c>
      <c r="B42" s="78">
        <v>0</v>
      </c>
      <c r="C42" s="78">
        <v>0</v>
      </c>
      <c r="D42" s="78">
        <f>B47/12</f>
        <v>9583.3333333333339</v>
      </c>
      <c r="E42" s="78">
        <f>C47/6</f>
        <v>32292.708333333332</v>
      </c>
      <c r="F42" s="79">
        <f t="shared" si="0"/>
        <v>41876.041666666664</v>
      </c>
      <c r="G42" s="79">
        <v>1562.5</v>
      </c>
      <c r="H42" s="79">
        <f t="shared" si="1"/>
        <v>595</v>
      </c>
      <c r="I42" s="79">
        <f t="shared" si="2"/>
        <v>44033.541666666664</v>
      </c>
      <c r="K42" s="80">
        <f t="shared" si="3"/>
        <v>7140000</v>
      </c>
    </row>
    <row r="43" spans="1:11" ht="15" x14ac:dyDescent="0.25">
      <c r="A43" s="77">
        <v>41334</v>
      </c>
      <c r="B43" s="78">
        <v>0</v>
      </c>
      <c r="C43" s="78">
        <v>0</v>
      </c>
      <c r="D43" s="78">
        <f>B47/12</f>
        <v>9583.3333333333339</v>
      </c>
      <c r="E43" s="78">
        <f>C47/6</f>
        <v>32292.708333333332</v>
      </c>
      <c r="F43" s="79">
        <f t="shared" si="0"/>
        <v>41876.041666666664</v>
      </c>
      <c r="G43" s="79">
        <v>1562.5</v>
      </c>
      <c r="H43" s="79">
        <f t="shared" si="1"/>
        <v>595</v>
      </c>
      <c r="I43" s="79">
        <f t="shared" si="2"/>
        <v>44033.541666666664</v>
      </c>
      <c r="K43" s="80">
        <f t="shared" si="3"/>
        <v>7140000</v>
      </c>
    </row>
    <row r="44" spans="1:11" ht="15" x14ac:dyDescent="0.25">
      <c r="A44" s="77">
        <v>41365</v>
      </c>
      <c r="B44" s="78">
        <v>0</v>
      </c>
      <c r="C44" s="78">
        <v>0</v>
      </c>
      <c r="D44" s="78">
        <f>B47/12</f>
        <v>9583.3333333333339</v>
      </c>
      <c r="E44" s="78">
        <f>C47/6</f>
        <v>32292.708333333332</v>
      </c>
      <c r="F44" s="79">
        <f t="shared" si="0"/>
        <v>41876.041666666664</v>
      </c>
      <c r="G44" s="79">
        <v>1562.5</v>
      </c>
      <c r="H44" s="79">
        <f t="shared" si="1"/>
        <v>595</v>
      </c>
      <c r="I44" s="79">
        <f t="shared" si="2"/>
        <v>44033.541666666664</v>
      </c>
      <c r="K44" s="80">
        <f t="shared" si="3"/>
        <v>7140000</v>
      </c>
    </row>
    <row r="45" spans="1:11" ht="15" x14ac:dyDescent="0.25">
      <c r="A45" s="77">
        <v>41395</v>
      </c>
      <c r="B45" s="78">
        <v>0</v>
      </c>
      <c r="C45" s="78">
        <v>0</v>
      </c>
      <c r="D45" s="78">
        <f>B47/12</f>
        <v>9583.3333333333339</v>
      </c>
      <c r="E45" s="78">
        <f>C47/6</f>
        <v>32292.708333333332</v>
      </c>
      <c r="F45" s="79">
        <f t="shared" si="0"/>
        <v>41876.041666666664</v>
      </c>
      <c r="G45" s="79">
        <v>1562.5</v>
      </c>
      <c r="H45" s="79">
        <f t="shared" si="1"/>
        <v>595</v>
      </c>
      <c r="I45" s="79">
        <f t="shared" si="2"/>
        <v>44033.541666666664</v>
      </c>
      <c r="K45" s="80">
        <f t="shared" si="3"/>
        <v>7140000</v>
      </c>
    </row>
    <row r="46" spans="1:11" ht="15" x14ac:dyDescent="0.25">
      <c r="A46" s="77">
        <v>41426</v>
      </c>
      <c r="B46" s="78">
        <v>0</v>
      </c>
      <c r="C46" s="78">
        <v>0</v>
      </c>
      <c r="D46" s="78">
        <f>B47/12</f>
        <v>9583.3333333333339</v>
      </c>
      <c r="E46" s="78">
        <f>C47/6</f>
        <v>32292.708333333332</v>
      </c>
      <c r="F46" s="79">
        <f t="shared" si="0"/>
        <v>41876.041666666664</v>
      </c>
      <c r="G46" s="79">
        <v>1562.5</v>
      </c>
      <c r="H46" s="79">
        <f t="shared" si="1"/>
        <v>595</v>
      </c>
      <c r="I46" s="79">
        <f t="shared" si="2"/>
        <v>44033.541666666664</v>
      </c>
      <c r="K46" s="80">
        <f t="shared" si="3"/>
        <v>7140000</v>
      </c>
    </row>
    <row r="47" spans="1:11" ht="15" x14ac:dyDescent="0.25">
      <c r="A47" s="77">
        <v>41456</v>
      </c>
      <c r="B47" s="78">
        <v>115000</v>
      </c>
      <c r="C47" s="78">
        <v>193756.25</v>
      </c>
      <c r="D47" s="78">
        <f>B47/12</f>
        <v>9583.3333333333339</v>
      </c>
      <c r="E47" s="78">
        <f>C47/6</f>
        <v>32292.708333333332</v>
      </c>
      <c r="F47" s="79">
        <f t="shared" si="0"/>
        <v>41876.041666666664</v>
      </c>
      <c r="G47" s="79">
        <v>1562.5</v>
      </c>
      <c r="H47" s="79">
        <f t="shared" si="1"/>
        <v>585.41666666666663</v>
      </c>
      <c r="I47" s="79">
        <f t="shared" si="2"/>
        <v>44023.958333333328</v>
      </c>
      <c r="J47" s="78">
        <f>SUM(F36:F47)</f>
        <v>502512.50000000006</v>
      </c>
      <c r="K47" s="80">
        <f t="shared" si="3"/>
        <v>7140000</v>
      </c>
    </row>
    <row r="48" spans="1:11" ht="15" x14ac:dyDescent="0.25">
      <c r="A48" s="77">
        <v>41487</v>
      </c>
      <c r="B48" s="78">
        <v>0</v>
      </c>
      <c r="C48" s="78">
        <v>0</v>
      </c>
      <c r="D48" s="78">
        <f>B59/12</f>
        <v>10000</v>
      </c>
      <c r="E48" s="78">
        <f>C53/6</f>
        <v>31789.583333333332</v>
      </c>
      <c r="F48" s="79">
        <f t="shared" si="0"/>
        <v>41789.583333333328</v>
      </c>
      <c r="G48" s="79">
        <v>1562.5</v>
      </c>
      <c r="H48" s="79">
        <f t="shared" si="1"/>
        <v>585.41666666666663</v>
      </c>
      <c r="I48" s="79">
        <f t="shared" si="2"/>
        <v>43937.499999999993</v>
      </c>
      <c r="K48" s="80">
        <f t="shared" si="3"/>
        <v>7025000</v>
      </c>
    </row>
    <row r="49" spans="1:11" ht="15" x14ac:dyDescent="0.25">
      <c r="A49" s="77">
        <v>41518</v>
      </c>
      <c r="B49" s="78">
        <v>0</v>
      </c>
      <c r="C49" s="78">
        <v>0</v>
      </c>
      <c r="D49" s="78">
        <f>B59/12</f>
        <v>10000</v>
      </c>
      <c r="E49" s="78">
        <f>C53/6</f>
        <v>31789.583333333332</v>
      </c>
      <c r="F49" s="79">
        <f t="shared" si="0"/>
        <v>41789.583333333328</v>
      </c>
      <c r="G49" s="79">
        <v>1562.5</v>
      </c>
      <c r="H49" s="79">
        <f t="shared" si="1"/>
        <v>585.41666666666663</v>
      </c>
      <c r="I49" s="79">
        <f t="shared" si="2"/>
        <v>43937.499999999993</v>
      </c>
      <c r="K49" s="80">
        <f t="shared" si="3"/>
        <v>7025000</v>
      </c>
    </row>
    <row r="50" spans="1:11" ht="15" x14ac:dyDescent="0.25">
      <c r="A50" s="77">
        <v>41548</v>
      </c>
      <c r="B50" s="78">
        <v>0</v>
      </c>
      <c r="C50" s="78">
        <v>0</v>
      </c>
      <c r="D50" s="78">
        <f>B59/12</f>
        <v>10000</v>
      </c>
      <c r="E50" s="78">
        <f>C53/6</f>
        <v>31789.583333333332</v>
      </c>
      <c r="F50" s="79">
        <f t="shared" si="0"/>
        <v>41789.583333333328</v>
      </c>
      <c r="G50" s="79">
        <v>1562.5</v>
      </c>
      <c r="H50" s="79">
        <f t="shared" si="1"/>
        <v>585.41666666666663</v>
      </c>
      <c r="I50" s="79">
        <f t="shared" si="2"/>
        <v>43937.499999999993</v>
      </c>
      <c r="K50" s="80">
        <f t="shared" si="3"/>
        <v>7025000</v>
      </c>
    </row>
    <row r="51" spans="1:11" ht="15" x14ac:dyDescent="0.25">
      <c r="A51" s="77">
        <v>41579</v>
      </c>
      <c r="B51" s="78">
        <v>0</v>
      </c>
      <c r="C51" s="78">
        <v>0</v>
      </c>
      <c r="D51" s="78">
        <f>B59/12</f>
        <v>10000</v>
      </c>
      <c r="E51" s="78">
        <f>C53/6</f>
        <v>31789.583333333332</v>
      </c>
      <c r="F51" s="79">
        <f t="shared" si="0"/>
        <v>41789.583333333328</v>
      </c>
      <c r="G51" s="79">
        <v>1562.5</v>
      </c>
      <c r="H51" s="79">
        <f t="shared" si="1"/>
        <v>585.41666666666663</v>
      </c>
      <c r="I51" s="79">
        <f t="shared" si="2"/>
        <v>43937.499999999993</v>
      </c>
      <c r="K51" s="80">
        <f t="shared" si="3"/>
        <v>7025000</v>
      </c>
    </row>
    <row r="52" spans="1:11" ht="15" x14ac:dyDescent="0.25">
      <c r="A52" s="77">
        <v>41609</v>
      </c>
      <c r="B52" s="78">
        <v>0</v>
      </c>
      <c r="C52" s="78">
        <v>0</v>
      </c>
      <c r="D52" s="78">
        <f>B59/12</f>
        <v>10000</v>
      </c>
      <c r="E52" s="78">
        <f>C53/6</f>
        <v>31789.583333333332</v>
      </c>
      <c r="F52" s="79">
        <f t="shared" si="0"/>
        <v>41789.583333333328</v>
      </c>
      <c r="G52" s="79">
        <v>1562.5</v>
      </c>
      <c r="H52" s="79">
        <f t="shared" si="1"/>
        <v>585.41666666666663</v>
      </c>
      <c r="I52" s="79">
        <f t="shared" si="2"/>
        <v>43937.499999999993</v>
      </c>
      <c r="K52" s="80">
        <f t="shared" si="3"/>
        <v>7025000</v>
      </c>
    </row>
    <row r="53" spans="1:11" ht="15" x14ac:dyDescent="0.25">
      <c r="A53" s="77">
        <v>41640</v>
      </c>
      <c r="B53" s="78">
        <v>0</v>
      </c>
      <c r="C53" s="78">
        <v>190737.5</v>
      </c>
      <c r="D53" s="78">
        <f>B59/12</f>
        <v>10000</v>
      </c>
      <c r="E53" s="78">
        <f>C53/6</f>
        <v>31789.583333333332</v>
      </c>
      <c r="F53" s="79">
        <f t="shared" si="0"/>
        <v>41789.583333333328</v>
      </c>
      <c r="G53" s="79">
        <v>1562.5</v>
      </c>
      <c r="H53" s="79">
        <f t="shared" si="1"/>
        <v>585.41666666666663</v>
      </c>
      <c r="I53" s="79">
        <f t="shared" si="2"/>
        <v>43937.499999999993</v>
      </c>
      <c r="K53" s="80">
        <f t="shared" si="3"/>
        <v>7025000</v>
      </c>
    </row>
    <row r="54" spans="1:11" ht="15" x14ac:dyDescent="0.25">
      <c r="A54" s="77">
        <v>41671</v>
      </c>
      <c r="B54" s="78">
        <v>0</v>
      </c>
      <c r="C54" s="78">
        <v>0</v>
      </c>
      <c r="D54" s="78">
        <f>B59/12</f>
        <v>10000</v>
      </c>
      <c r="E54" s="78">
        <f>C59/6</f>
        <v>31789.583333333332</v>
      </c>
      <c r="F54" s="79">
        <f t="shared" si="0"/>
        <v>41789.583333333328</v>
      </c>
      <c r="G54" s="79">
        <v>1562.5</v>
      </c>
      <c r="H54" s="79">
        <f t="shared" si="1"/>
        <v>585.41666666666663</v>
      </c>
      <c r="I54" s="79">
        <f t="shared" si="2"/>
        <v>43937.499999999993</v>
      </c>
      <c r="J54" s="81"/>
      <c r="K54" s="80">
        <f t="shared" si="3"/>
        <v>7025000</v>
      </c>
    </row>
    <row r="55" spans="1:11" ht="15" x14ac:dyDescent="0.25">
      <c r="A55" s="77">
        <v>41699</v>
      </c>
      <c r="B55" s="78">
        <v>0</v>
      </c>
      <c r="C55" s="78">
        <v>0</v>
      </c>
      <c r="D55" s="78">
        <f>B59/12</f>
        <v>10000</v>
      </c>
      <c r="E55" s="78">
        <f>C59/6</f>
        <v>31789.583333333332</v>
      </c>
      <c r="F55" s="79">
        <f t="shared" si="0"/>
        <v>41789.583333333328</v>
      </c>
      <c r="G55" s="79"/>
      <c r="H55" s="79">
        <f t="shared" si="1"/>
        <v>585.41666666666663</v>
      </c>
      <c r="I55" s="79">
        <f t="shared" si="2"/>
        <v>42374.999999999993</v>
      </c>
      <c r="K55" s="80">
        <f t="shared" si="3"/>
        <v>7025000</v>
      </c>
    </row>
    <row r="56" spans="1:11" ht="15" x14ac:dyDescent="0.25">
      <c r="A56" s="77">
        <v>41730</v>
      </c>
      <c r="B56" s="78">
        <v>0</v>
      </c>
      <c r="C56" s="78">
        <v>0</v>
      </c>
      <c r="D56" s="78">
        <f>B59/12</f>
        <v>10000</v>
      </c>
      <c r="E56" s="78">
        <f>C59/6</f>
        <v>31789.583333333332</v>
      </c>
      <c r="F56" s="79">
        <f t="shared" si="0"/>
        <v>41789.583333333328</v>
      </c>
      <c r="G56" s="79"/>
      <c r="H56" s="79">
        <f t="shared" si="1"/>
        <v>585.41666666666663</v>
      </c>
      <c r="I56" s="79">
        <f t="shared" si="2"/>
        <v>42374.999999999993</v>
      </c>
      <c r="K56" s="80">
        <f t="shared" si="3"/>
        <v>7025000</v>
      </c>
    </row>
    <row r="57" spans="1:11" ht="15" x14ac:dyDescent="0.25">
      <c r="A57" s="77">
        <v>41760</v>
      </c>
      <c r="B57" s="78">
        <v>0</v>
      </c>
      <c r="C57" s="78">
        <v>0</v>
      </c>
      <c r="D57" s="78">
        <f>B59/12</f>
        <v>10000</v>
      </c>
      <c r="E57" s="78">
        <f>C59/6</f>
        <v>31789.583333333332</v>
      </c>
      <c r="F57" s="79">
        <f t="shared" si="0"/>
        <v>41789.583333333328</v>
      </c>
      <c r="G57" s="79"/>
      <c r="H57" s="79">
        <f t="shared" si="1"/>
        <v>585.41666666666663</v>
      </c>
      <c r="I57" s="79">
        <f t="shared" si="2"/>
        <v>42374.999999999993</v>
      </c>
      <c r="K57" s="80">
        <f t="shared" si="3"/>
        <v>7025000</v>
      </c>
    </row>
    <row r="58" spans="1:11" ht="15" x14ac:dyDescent="0.25">
      <c r="A58" s="77">
        <v>41791</v>
      </c>
      <c r="B58" s="78">
        <v>0</v>
      </c>
      <c r="C58" s="78">
        <v>0</v>
      </c>
      <c r="D58" s="78">
        <f>B59/12</f>
        <v>10000</v>
      </c>
      <c r="E58" s="78">
        <f>C59/6</f>
        <v>31789.583333333332</v>
      </c>
      <c r="F58" s="79">
        <f t="shared" si="0"/>
        <v>41789.583333333328</v>
      </c>
      <c r="G58" s="79"/>
      <c r="H58" s="79">
        <f t="shared" si="1"/>
        <v>585.41666666666663</v>
      </c>
      <c r="I58" s="79">
        <f t="shared" si="2"/>
        <v>42374.999999999993</v>
      </c>
      <c r="K58" s="80">
        <f t="shared" si="3"/>
        <v>7025000</v>
      </c>
    </row>
    <row r="59" spans="1:11" ht="15" x14ac:dyDescent="0.25">
      <c r="A59" s="77">
        <v>41821</v>
      </c>
      <c r="B59" s="78">
        <v>120000</v>
      </c>
      <c r="C59" s="78">
        <v>190737.5</v>
      </c>
      <c r="D59" s="78">
        <f>B59/12</f>
        <v>10000</v>
      </c>
      <c r="E59" s="78">
        <f>C59/6</f>
        <v>31789.583333333332</v>
      </c>
      <c r="F59" s="79">
        <f t="shared" si="0"/>
        <v>41789.583333333328</v>
      </c>
      <c r="G59" s="79"/>
      <c r="H59" s="79">
        <f t="shared" si="1"/>
        <v>575.41666666666663</v>
      </c>
      <c r="I59" s="79">
        <f t="shared" si="2"/>
        <v>42364.999999999993</v>
      </c>
      <c r="J59" s="78">
        <f>SUM(F48:F59)</f>
        <v>501474.99999999983</v>
      </c>
      <c r="K59" s="80">
        <f t="shared" si="3"/>
        <v>7025000</v>
      </c>
    </row>
    <row r="60" spans="1:11" ht="15" x14ac:dyDescent="0.25">
      <c r="A60" s="77">
        <v>41852</v>
      </c>
      <c r="B60" s="78">
        <v>0</v>
      </c>
      <c r="C60" s="78">
        <v>0</v>
      </c>
      <c r="D60" s="78">
        <f>B71/12</f>
        <v>10833.333333333334</v>
      </c>
      <c r="E60" s="78">
        <f>C65/6</f>
        <v>31264.583333333332</v>
      </c>
      <c r="F60" s="79">
        <f t="shared" si="0"/>
        <v>42097.916666666664</v>
      </c>
      <c r="G60" s="79"/>
      <c r="H60" s="79">
        <f t="shared" si="1"/>
        <v>575.41666666666663</v>
      </c>
      <c r="I60" s="79">
        <f t="shared" si="2"/>
        <v>42673.333333333328</v>
      </c>
      <c r="K60" s="80">
        <f t="shared" si="3"/>
        <v>6905000</v>
      </c>
    </row>
    <row r="61" spans="1:11" ht="15" x14ac:dyDescent="0.25">
      <c r="A61" s="77">
        <v>41883</v>
      </c>
      <c r="B61" s="78">
        <v>0</v>
      </c>
      <c r="C61" s="78">
        <v>0</v>
      </c>
      <c r="D61" s="78">
        <f>B71/12</f>
        <v>10833.333333333334</v>
      </c>
      <c r="E61" s="78">
        <f>C65/6</f>
        <v>31264.583333333332</v>
      </c>
      <c r="F61" s="79">
        <f t="shared" si="0"/>
        <v>42097.916666666664</v>
      </c>
      <c r="G61" s="79"/>
      <c r="H61" s="79">
        <f t="shared" si="1"/>
        <v>575.41666666666663</v>
      </c>
      <c r="I61" s="79">
        <f t="shared" si="2"/>
        <v>42673.333333333328</v>
      </c>
      <c r="K61" s="80">
        <f t="shared" si="3"/>
        <v>6905000</v>
      </c>
    </row>
    <row r="62" spans="1:11" ht="15" x14ac:dyDescent="0.25">
      <c r="A62" s="77">
        <v>41913</v>
      </c>
      <c r="B62" s="78">
        <v>0</v>
      </c>
      <c r="C62" s="78">
        <v>0</v>
      </c>
      <c r="D62" s="78">
        <f>B71/12</f>
        <v>10833.333333333334</v>
      </c>
      <c r="E62" s="78">
        <f>C65/6</f>
        <v>31264.583333333332</v>
      </c>
      <c r="F62" s="79">
        <f t="shared" si="0"/>
        <v>42097.916666666664</v>
      </c>
      <c r="G62" s="79"/>
      <c r="H62" s="79">
        <f t="shared" si="1"/>
        <v>575.41666666666663</v>
      </c>
      <c r="I62" s="79">
        <f t="shared" si="2"/>
        <v>42673.333333333328</v>
      </c>
      <c r="K62" s="80">
        <f t="shared" si="3"/>
        <v>6905000</v>
      </c>
    </row>
    <row r="63" spans="1:11" ht="15" x14ac:dyDescent="0.25">
      <c r="A63" s="77">
        <v>41944</v>
      </c>
      <c r="B63" s="78">
        <v>0</v>
      </c>
      <c r="C63" s="78">
        <v>0</v>
      </c>
      <c r="D63" s="78">
        <f>B71/12</f>
        <v>10833.333333333334</v>
      </c>
      <c r="E63" s="78">
        <f>C65/6</f>
        <v>31264.583333333332</v>
      </c>
      <c r="F63" s="79">
        <f t="shared" si="0"/>
        <v>42097.916666666664</v>
      </c>
      <c r="G63" s="79"/>
      <c r="H63" s="79">
        <f t="shared" si="1"/>
        <v>575.41666666666663</v>
      </c>
      <c r="I63" s="79">
        <f t="shared" si="2"/>
        <v>42673.333333333328</v>
      </c>
      <c r="K63" s="80">
        <f t="shared" si="3"/>
        <v>6905000</v>
      </c>
    </row>
    <row r="64" spans="1:11" ht="15" x14ac:dyDescent="0.25">
      <c r="A64" s="77">
        <v>41974</v>
      </c>
      <c r="B64" s="78">
        <v>0</v>
      </c>
      <c r="C64" s="78">
        <v>0</v>
      </c>
      <c r="D64" s="78">
        <f>B71/12</f>
        <v>10833.333333333334</v>
      </c>
      <c r="E64" s="78">
        <f>C65/6</f>
        <v>31264.583333333332</v>
      </c>
      <c r="F64" s="79">
        <f t="shared" si="0"/>
        <v>42097.916666666664</v>
      </c>
      <c r="G64" s="79"/>
      <c r="H64" s="79">
        <f t="shared" si="1"/>
        <v>575.41666666666663</v>
      </c>
      <c r="I64" s="79">
        <f t="shared" si="2"/>
        <v>42673.333333333328</v>
      </c>
      <c r="K64" s="80">
        <f t="shared" si="3"/>
        <v>6905000</v>
      </c>
    </row>
    <row r="65" spans="1:11" ht="15" x14ac:dyDescent="0.25">
      <c r="A65" s="77">
        <v>42005</v>
      </c>
      <c r="B65" s="78">
        <v>0</v>
      </c>
      <c r="C65" s="78">
        <v>187587.5</v>
      </c>
      <c r="D65" s="78">
        <f>B71/12</f>
        <v>10833.333333333334</v>
      </c>
      <c r="E65" s="78">
        <f>C65/6</f>
        <v>31264.583333333332</v>
      </c>
      <c r="F65" s="79">
        <f t="shared" si="0"/>
        <v>42097.916666666664</v>
      </c>
      <c r="G65" s="79"/>
      <c r="H65" s="79">
        <f t="shared" si="1"/>
        <v>575.41666666666663</v>
      </c>
      <c r="I65" s="79">
        <f t="shared" si="2"/>
        <v>42673.333333333328</v>
      </c>
      <c r="K65" s="80">
        <f t="shared" si="3"/>
        <v>6905000</v>
      </c>
    </row>
    <row r="66" spans="1:11" ht="15" x14ac:dyDescent="0.25">
      <c r="A66" s="77">
        <v>42036</v>
      </c>
      <c r="B66" s="78">
        <v>0</v>
      </c>
      <c r="C66" s="78">
        <v>0</v>
      </c>
      <c r="D66" s="78">
        <f>B71/12</f>
        <v>10833.333333333334</v>
      </c>
      <c r="E66" s="78">
        <f>C71/6</f>
        <v>31264.583333333332</v>
      </c>
      <c r="F66" s="79">
        <f t="shared" si="0"/>
        <v>42097.916666666664</v>
      </c>
      <c r="G66" s="79"/>
      <c r="H66" s="79">
        <f t="shared" si="1"/>
        <v>575.41666666666663</v>
      </c>
      <c r="I66" s="79">
        <f t="shared" si="2"/>
        <v>42673.333333333328</v>
      </c>
      <c r="K66" s="80">
        <f t="shared" si="3"/>
        <v>6905000</v>
      </c>
    </row>
    <row r="67" spans="1:11" ht="15" x14ac:dyDescent="0.25">
      <c r="A67" s="77">
        <v>42064</v>
      </c>
      <c r="B67" s="78">
        <v>0</v>
      </c>
      <c r="C67" s="78">
        <v>0</v>
      </c>
      <c r="D67" s="78">
        <f>B71/12</f>
        <v>10833.333333333334</v>
      </c>
      <c r="E67" s="78">
        <f>C71/6</f>
        <v>31264.583333333332</v>
      </c>
      <c r="F67" s="79">
        <f t="shared" si="0"/>
        <v>42097.916666666664</v>
      </c>
      <c r="G67" s="79"/>
      <c r="H67" s="79">
        <f t="shared" si="1"/>
        <v>575.41666666666663</v>
      </c>
      <c r="I67" s="79">
        <f t="shared" si="2"/>
        <v>42673.333333333328</v>
      </c>
      <c r="K67" s="80">
        <f t="shared" si="3"/>
        <v>6905000</v>
      </c>
    </row>
    <row r="68" spans="1:11" ht="15" x14ac:dyDescent="0.25">
      <c r="A68" s="77">
        <v>42095</v>
      </c>
      <c r="B68" s="78">
        <v>0</v>
      </c>
      <c r="C68" s="78">
        <v>0</v>
      </c>
      <c r="D68" s="78">
        <f>B71/12</f>
        <v>10833.333333333334</v>
      </c>
      <c r="E68" s="78">
        <f>C71/6</f>
        <v>31264.583333333332</v>
      </c>
      <c r="F68" s="79">
        <f t="shared" si="0"/>
        <v>42097.916666666664</v>
      </c>
      <c r="G68" s="79"/>
      <c r="H68" s="79">
        <f t="shared" si="1"/>
        <v>575.41666666666663</v>
      </c>
      <c r="I68" s="79">
        <f t="shared" si="2"/>
        <v>42673.333333333328</v>
      </c>
      <c r="K68" s="80">
        <f t="shared" si="3"/>
        <v>6905000</v>
      </c>
    </row>
    <row r="69" spans="1:11" ht="15" x14ac:dyDescent="0.25">
      <c r="A69" s="77">
        <v>42125</v>
      </c>
      <c r="B69" s="78">
        <v>0</v>
      </c>
      <c r="C69" s="78">
        <v>0</v>
      </c>
      <c r="D69" s="78">
        <f>B71/12</f>
        <v>10833.333333333334</v>
      </c>
      <c r="E69" s="78">
        <f>C71/6</f>
        <v>31264.583333333332</v>
      </c>
      <c r="F69" s="79">
        <f t="shared" si="0"/>
        <v>42097.916666666664</v>
      </c>
      <c r="G69" s="79"/>
      <c r="H69" s="79">
        <f t="shared" si="1"/>
        <v>575.41666666666663</v>
      </c>
      <c r="I69" s="79">
        <f t="shared" si="2"/>
        <v>42673.333333333328</v>
      </c>
      <c r="K69" s="80">
        <f t="shared" si="3"/>
        <v>6905000</v>
      </c>
    </row>
    <row r="70" spans="1:11" ht="15" x14ac:dyDescent="0.25">
      <c r="A70" s="77">
        <v>42156</v>
      </c>
      <c r="B70" s="78">
        <v>0</v>
      </c>
      <c r="C70" s="78">
        <v>0</v>
      </c>
      <c r="D70" s="78">
        <f>B71/12</f>
        <v>10833.333333333334</v>
      </c>
      <c r="E70" s="78">
        <f>C71/6</f>
        <v>31264.583333333332</v>
      </c>
      <c r="F70" s="79">
        <f t="shared" si="0"/>
        <v>42097.916666666664</v>
      </c>
      <c r="G70" s="79"/>
      <c r="H70" s="79">
        <f t="shared" si="1"/>
        <v>575.41666666666663</v>
      </c>
      <c r="I70" s="79">
        <f t="shared" si="2"/>
        <v>42673.333333333328</v>
      </c>
      <c r="K70" s="80">
        <f t="shared" si="3"/>
        <v>6905000</v>
      </c>
    </row>
    <row r="71" spans="1:11" ht="15" x14ac:dyDescent="0.25">
      <c r="A71" s="77">
        <v>42186</v>
      </c>
      <c r="B71" s="78">
        <v>130000</v>
      </c>
      <c r="C71" s="78">
        <v>187587.5</v>
      </c>
      <c r="D71" s="78">
        <f>B71/12</f>
        <v>10833.333333333334</v>
      </c>
      <c r="E71" s="78">
        <f>C71/6</f>
        <v>31264.583333333332</v>
      </c>
      <c r="F71" s="79">
        <f t="shared" si="0"/>
        <v>42097.916666666664</v>
      </c>
      <c r="G71" s="79"/>
      <c r="H71" s="79">
        <f t="shared" si="1"/>
        <v>564.58333333333337</v>
      </c>
      <c r="I71" s="79">
        <f t="shared" si="2"/>
        <v>42662.5</v>
      </c>
      <c r="J71" s="78">
        <f>SUM(F60:F71)</f>
        <v>505175.00000000006</v>
      </c>
      <c r="K71" s="80">
        <f t="shared" si="3"/>
        <v>6905000</v>
      </c>
    </row>
    <row r="72" spans="1:11" ht="15" x14ac:dyDescent="0.25">
      <c r="A72" s="77">
        <v>42217</v>
      </c>
      <c r="B72" s="78">
        <v>0</v>
      </c>
      <c r="C72" s="78">
        <v>0</v>
      </c>
      <c r="D72" s="78">
        <f>B83/12</f>
        <v>11250</v>
      </c>
      <c r="E72" s="78">
        <f>C77/6</f>
        <v>30695.833333333332</v>
      </c>
      <c r="F72" s="79">
        <f t="shared" ref="F72:F135" si="4">D72+E72</f>
        <v>41945.833333333328</v>
      </c>
      <c r="G72" s="79"/>
      <c r="H72" s="79">
        <f t="shared" si="1"/>
        <v>564.58333333333337</v>
      </c>
      <c r="I72" s="79">
        <f t="shared" si="2"/>
        <v>42510.416666666664</v>
      </c>
      <c r="K72" s="80">
        <f t="shared" si="3"/>
        <v>6775000</v>
      </c>
    </row>
    <row r="73" spans="1:11" ht="15" x14ac:dyDescent="0.25">
      <c r="A73" s="77">
        <v>42248</v>
      </c>
      <c r="B73" s="78">
        <v>0</v>
      </c>
      <c r="C73" s="78">
        <v>0</v>
      </c>
      <c r="D73" s="78">
        <f>B83/12</f>
        <v>11250</v>
      </c>
      <c r="E73" s="78">
        <f>C77/6</f>
        <v>30695.833333333332</v>
      </c>
      <c r="F73" s="79">
        <f t="shared" si="4"/>
        <v>41945.833333333328</v>
      </c>
      <c r="G73" s="79"/>
      <c r="H73" s="79">
        <f t="shared" ref="H73:H136" si="5">+(K74*0.001)/12</f>
        <v>564.58333333333337</v>
      </c>
      <c r="I73" s="79">
        <f t="shared" ref="I73:I136" si="6">+F73+G73+H73</f>
        <v>42510.416666666664</v>
      </c>
      <c r="K73" s="80">
        <f t="shared" si="3"/>
        <v>6775000</v>
      </c>
    </row>
    <row r="74" spans="1:11" ht="15" x14ac:dyDescent="0.25">
      <c r="A74" s="77">
        <v>42278</v>
      </c>
      <c r="B74" s="78">
        <v>0</v>
      </c>
      <c r="C74" s="78">
        <v>0</v>
      </c>
      <c r="D74" s="78">
        <f>B83/12</f>
        <v>11250</v>
      </c>
      <c r="E74" s="78">
        <f>C77/6</f>
        <v>30695.833333333332</v>
      </c>
      <c r="F74" s="79">
        <f t="shared" si="4"/>
        <v>41945.833333333328</v>
      </c>
      <c r="G74" s="79"/>
      <c r="H74" s="79">
        <f t="shared" si="5"/>
        <v>564.58333333333337</v>
      </c>
      <c r="I74" s="79">
        <f t="shared" si="6"/>
        <v>42510.416666666664</v>
      </c>
      <c r="K74" s="80">
        <f t="shared" ref="K74:K137" si="7">+K73-B73</f>
        <v>6775000</v>
      </c>
    </row>
    <row r="75" spans="1:11" ht="15" x14ac:dyDescent="0.25">
      <c r="A75" s="77">
        <v>42309</v>
      </c>
      <c r="B75" s="78">
        <v>0</v>
      </c>
      <c r="C75" s="78">
        <v>0</v>
      </c>
      <c r="D75" s="78">
        <f>B83/12</f>
        <v>11250</v>
      </c>
      <c r="E75" s="78">
        <f>C77/6</f>
        <v>30695.833333333332</v>
      </c>
      <c r="F75" s="79">
        <f t="shared" si="4"/>
        <v>41945.833333333328</v>
      </c>
      <c r="G75" s="79"/>
      <c r="H75" s="79">
        <f t="shared" si="5"/>
        <v>564.58333333333337</v>
      </c>
      <c r="I75" s="79">
        <f t="shared" si="6"/>
        <v>42510.416666666664</v>
      </c>
      <c r="K75" s="80">
        <f t="shared" si="7"/>
        <v>6775000</v>
      </c>
    </row>
    <row r="76" spans="1:11" ht="15" x14ac:dyDescent="0.25">
      <c r="A76" s="77">
        <v>42339</v>
      </c>
      <c r="B76" s="78">
        <v>0</v>
      </c>
      <c r="C76" s="78">
        <v>0</v>
      </c>
      <c r="D76" s="78">
        <f>B83/12</f>
        <v>11250</v>
      </c>
      <c r="E76" s="78">
        <f>C77/6</f>
        <v>30695.833333333332</v>
      </c>
      <c r="F76" s="79">
        <f t="shared" si="4"/>
        <v>41945.833333333328</v>
      </c>
      <c r="G76" s="79"/>
      <c r="H76" s="79">
        <f t="shared" si="5"/>
        <v>564.58333333333337</v>
      </c>
      <c r="I76" s="79">
        <f t="shared" si="6"/>
        <v>42510.416666666664</v>
      </c>
      <c r="K76" s="80">
        <f t="shared" si="7"/>
        <v>6775000</v>
      </c>
    </row>
    <row r="77" spans="1:11" ht="15" x14ac:dyDescent="0.25">
      <c r="A77" s="77">
        <v>42370</v>
      </c>
      <c r="B77" s="78">
        <v>0</v>
      </c>
      <c r="C77" s="78">
        <v>184175</v>
      </c>
      <c r="D77" s="78">
        <f>B83/12</f>
        <v>11250</v>
      </c>
      <c r="E77" s="78">
        <f>C77/6</f>
        <v>30695.833333333332</v>
      </c>
      <c r="F77" s="79">
        <f t="shared" si="4"/>
        <v>41945.833333333328</v>
      </c>
      <c r="G77" s="79"/>
      <c r="H77" s="79">
        <f t="shared" si="5"/>
        <v>564.58333333333337</v>
      </c>
      <c r="I77" s="79">
        <f t="shared" si="6"/>
        <v>42510.416666666664</v>
      </c>
      <c r="K77" s="80">
        <f t="shared" si="7"/>
        <v>6775000</v>
      </c>
    </row>
    <row r="78" spans="1:11" ht="15" x14ac:dyDescent="0.25">
      <c r="A78" s="77">
        <v>42401</v>
      </c>
      <c r="B78" s="78">
        <v>0</v>
      </c>
      <c r="C78" s="78">
        <v>0</v>
      </c>
      <c r="D78" s="78">
        <f>B83/12</f>
        <v>11250</v>
      </c>
      <c r="E78" s="78">
        <f>C83/6</f>
        <v>30695.833333333332</v>
      </c>
      <c r="F78" s="79">
        <f t="shared" si="4"/>
        <v>41945.833333333328</v>
      </c>
      <c r="G78" s="79"/>
      <c r="H78" s="79">
        <f t="shared" si="5"/>
        <v>564.58333333333337</v>
      </c>
      <c r="I78" s="79">
        <f t="shared" si="6"/>
        <v>42510.416666666664</v>
      </c>
      <c r="J78" s="81"/>
      <c r="K78" s="80">
        <f t="shared" si="7"/>
        <v>6775000</v>
      </c>
    </row>
    <row r="79" spans="1:11" ht="15" x14ac:dyDescent="0.25">
      <c r="A79" s="77">
        <v>42430</v>
      </c>
      <c r="B79" s="78">
        <v>0</v>
      </c>
      <c r="C79" s="78">
        <v>0</v>
      </c>
      <c r="D79" s="78">
        <f>B83/12</f>
        <v>11250</v>
      </c>
      <c r="E79" s="78">
        <f>C83/6</f>
        <v>30695.833333333332</v>
      </c>
      <c r="F79" s="79">
        <f t="shared" si="4"/>
        <v>41945.833333333328</v>
      </c>
      <c r="G79" s="79"/>
      <c r="H79" s="79">
        <f t="shared" si="5"/>
        <v>564.58333333333337</v>
      </c>
      <c r="I79" s="79">
        <f t="shared" si="6"/>
        <v>42510.416666666664</v>
      </c>
      <c r="K79" s="80">
        <f t="shared" si="7"/>
        <v>6775000</v>
      </c>
    </row>
    <row r="80" spans="1:11" ht="15" x14ac:dyDescent="0.25">
      <c r="A80" s="77">
        <v>42461</v>
      </c>
      <c r="B80" s="78">
        <v>0</v>
      </c>
      <c r="C80" s="78">
        <v>0</v>
      </c>
      <c r="D80" s="78">
        <f>B83/12</f>
        <v>11250</v>
      </c>
      <c r="E80" s="78">
        <f>C83/6</f>
        <v>30695.833333333332</v>
      </c>
      <c r="F80" s="79">
        <f t="shared" si="4"/>
        <v>41945.833333333328</v>
      </c>
      <c r="G80" s="79"/>
      <c r="H80" s="79">
        <f t="shared" si="5"/>
        <v>564.58333333333337</v>
      </c>
      <c r="I80" s="79">
        <f t="shared" si="6"/>
        <v>42510.416666666664</v>
      </c>
      <c r="K80" s="80">
        <f t="shared" si="7"/>
        <v>6775000</v>
      </c>
    </row>
    <row r="81" spans="1:11" ht="15" x14ac:dyDescent="0.25">
      <c r="A81" s="77">
        <v>42491</v>
      </c>
      <c r="B81" s="78">
        <v>0</v>
      </c>
      <c r="C81" s="78">
        <v>0</v>
      </c>
      <c r="D81" s="78">
        <f>B83/12</f>
        <v>11250</v>
      </c>
      <c r="E81" s="78">
        <f>C83/6</f>
        <v>30695.833333333332</v>
      </c>
      <c r="F81" s="79">
        <f t="shared" si="4"/>
        <v>41945.833333333328</v>
      </c>
      <c r="G81" s="79"/>
      <c r="H81" s="79">
        <f t="shared" si="5"/>
        <v>564.58333333333337</v>
      </c>
      <c r="I81" s="79">
        <f t="shared" si="6"/>
        <v>42510.416666666664</v>
      </c>
      <c r="K81" s="80">
        <f t="shared" si="7"/>
        <v>6775000</v>
      </c>
    </row>
    <row r="82" spans="1:11" ht="15" x14ac:dyDescent="0.25">
      <c r="A82" s="77">
        <v>42522</v>
      </c>
      <c r="B82" s="78">
        <v>0</v>
      </c>
      <c r="C82" s="78">
        <v>0</v>
      </c>
      <c r="D82" s="78">
        <f>B83/12</f>
        <v>11250</v>
      </c>
      <c r="E82" s="78">
        <f>C83/6</f>
        <v>30695.833333333332</v>
      </c>
      <c r="F82" s="79">
        <f t="shared" si="4"/>
        <v>41945.833333333328</v>
      </c>
      <c r="G82" s="79"/>
      <c r="H82" s="79">
        <f t="shared" si="5"/>
        <v>564.58333333333337</v>
      </c>
      <c r="I82" s="79">
        <f t="shared" si="6"/>
        <v>42510.416666666664</v>
      </c>
      <c r="K82" s="80">
        <f t="shared" si="7"/>
        <v>6775000</v>
      </c>
    </row>
    <row r="83" spans="1:11" ht="15" x14ac:dyDescent="0.25">
      <c r="A83" s="77">
        <v>42552</v>
      </c>
      <c r="B83" s="78">
        <v>135000</v>
      </c>
      <c r="C83" s="78">
        <v>184175</v>
      </c>
      <c r="D83" s="78">
        <f>B83/12</f>
        <v>11250</v>
      </c>
      <c r="E83" s="78">
        <f>C83/6</f>
        <v>30695.833333333332</v>
      </c>
      <c r="F83" s="79">
        <f t="shared" si="4"/>
        <v>41945.833333333328</v>
      </c>
      <c r="G83" s="79"/>
      <c r="H83" s="79">
        <f t="shared" si="5"/>
        <v>553.33333333333337</v>
      </c>
      <c r="I83" s="79">
        <f t="shared" si="6"/>
        <v>42499.166666666664</v>
      </c>
      <c r="J83" s="78">
        <f>SUM(F72:F83)</f>
        <v>503349.99999999983</v>
      </c>
      <c r="K83" s="80">
        <f t="shared" si="7"/>
        <v>6775000</v>
      </c>
    </row>
    <row r="84" spans="1:11" ht="15" x14ac:dyDescent="0.25">
      <c r="A84" s="77">
        <v>42583</v>
      </c>
      <c r="B84" s="78">
        <v>0</v>
      </c>
      <c r="C84" s="78">
        <v>0</v>
      </c>
      <c r="D84" s="78">
        <f>B95/12</f>
        <v>11666.666666666666</v>
      </c>
      <c r="E84" s="78">
        <f>C89/6</f>
        <v>30105.208333333332</v>
      </c>
      <c r="F84" s="79">
        <f t="shared" si="4"/>
        <v>41771.875</v>
      </c>
      <c r="G84" s="79"/>
      <c r="H84" s="79">
        <f t="shared" si="5"/>
        <v>553.33333333333337</v>
      </c>
      <c r="I84" s="79">
        <f t="shared" si="6"/>
        <v>42325.208333333336</v>
      </c>
      <c r="K84" s="80">
        <f t="shared" si="7"/>
        <v>6640000</v>
      </c>
    </row>
    <row r="85" spans="1:11" ht="15" x14ac:dyDescent="0.25">
      <c r="A85" s="77">
        <v>42614</v>
      </c>
      <c r="B85" s="78">
        <v>0</v>
      </c>
      <c r="C85" s="78">
        <v>0</v>
      </c>
      <c r="D85" s="78">
        <f>B95/12</f>
        <v>11666.666666666666</v>
      </c>
      <c r="E85" s="78">
        <f>C89/6</f>
        <v>30105.208333333332</v>
      </c>
      <c r="F85" s="79">
        <f t="shared" si="4"/>
        <v>41771.875</v>
      </c>
      <c r="G85" s="79"/>
      <c r="H85" s="79">
        <f t="shared" si="5"/>
        <v>553.33333333333337</v>
      </c>
      <c r="I85" s="79">
        <f t="shared" si="6"/>
        <v>42325.208333333336</v>
      </c>
      <c r="K85" s="80">
        <f t="shared" si="7"/>
        <v>6640000</v>
      </c>
    </row>
    <row r="86" spans="1:11" ht="15" x14ac:dyDescent="0.25">
      <c r="A86" s="77">
        <v>42644</v>
      </c>
      <c r="B86" s="78">
        <v>0</v>
      </c>
      <c r="C86" s="78">
        <v>0</v>
      </c>
      <c r="D86" s="78">
        <f>B95/12</f>
        <v>11666.666666666666</v>
      </c>
      <c r="E86" s="78">
        <f>C89/6</f>
        <v>30105.208333333332</v>
      </c>
      <c r="F86" s="79">
        <f t="shared" si="4"/>
        <v>41771.875</v>
      </c>
      <c r="G86" s="79"/>
      <c r="H86" s="79">
        <f t="shared" si="5"/>
        <v>553.33333333333337</v>
      </c>
      <c r="I86" s="79">
        <f t="shared" si="6"/>
        <v>42325.208333333336</v>
      </c>
      <c r="K86" s="80">
        <f t="shared" si="7"/>
        <v>6640000</v>
      </c>
    </row>
    <row r="87" spans="1:11" ht="15" x14ac:dyDescent="0.25">
      <c r="A87" s="77">
        <v>42675</v>
      </c>
      <c r="B87" s="78">
        <v>0</v>
      </c>
      <c r="C87" s="78">
        <v>0</v>
      </c>
      <c r="D87" s="78">
        <f>B95/12</f>
        <v>11666.666666666666</v>
      </c>
      <c r="E87" s="78">
        <f>C89/6</f>
        <v>30105.208333333332</v>
      </c>
      <c r="F87" s="79">
        <f t="shared" si="4"/>
        <v>41771.875</v>
      </c>
      <c r="G87" s="79"/>
      <c r="H87" s="79">
        <f t="shared" si="5"/>
        <v>553.33333333333337</v>
      </c>
      <c r="I87" s="79">
        <f t="shared" si="6"/>
        <v>42325.208333333336</v>
      </c>
      <c r="K87" s="80">
        <f t="shared" si="7"/>
        <v>6640000</v>
      </c>
    </row>
    <row r="88" spans="1:11" ht="15" x14ac:dyDescent="0.25">
      <c r="A88" s="77">
        <v>42705</v>
      </c>
      <c r="B88" s="78">
        <v>0</v>
      </c>
      <c r="C88" s="78">
        <v>0</v>
      </c>
      <c r="D88" s="78">
        <f>B95/12</f>
        <v>11666.666666666666</v>
      </c>
      <c r="E88" s="78">
        <f>C89/6</f>
        <v>30105.208333333332</v>
      </c>
      <c r="F88" s="79">
        <f t="shared" si="4"/>
        <v>41771.875</v>
      </c>
      <c r="G88" s="79"/>
      <c r="H88" s="79">
        <f t="shared" si="5"/>
        <v>553.33333333333337</v>
      </c>
      <c r="I88" s="79">
        <f t="shared" si="6"/>
        <v>42325.208333333336</v>
      </c>
      <c r="K88" s="80">
        <f t="shared" si="7"/>
        <v>6640000</v>
      </c>
    </row>
    <row r="89" spans="1:11" ht="15" x14ac:dyDescent="0.25">
      <c r="A89" s="77">
        <v>42736</v>
      </c>
      <c r="B89" s="78">
        <v>0</v>
      </c>
      <c r="C89" s="78">
        <v>180631.25</v>
      </c>
      <c r="D89" s="78">
        <f>B95/12</f>
        <v>11666.666666666666</v>
      </c>
      <c r="E89" s="78">
        <f>C89/6</f>
        <v>30105.208333333332</v>
      </c>
      <c r="F89" s="79">
        <f t="shared" si="4"/>
        <v>41771.875</v>
      </c>
      <c r="G89" s="79"/>
      <c r="H89" s="79">
        <f t="shared" si="5"/>
        <v>553.33333333333337</v>
      </c>
      <c r="I89" s="79">
        <f t="shared" si="6"/>
        <v>42325.208333333336</v>
      </c>
      <c r="K89" s="80">
        <f t="shared" si="7"/>
        <v>6640000</v>
      </c>
    </row>
    <row r="90" spans="1:11" ht="15" x14ac:dyDescent="0.25">
      <c r="A90" s="77">
        <v>42767</v>
      </c>
      <c r="B90" s="78">
        <v>0</v>
      </c>
      <c r="C90" s="78">
        <v>0</v>
      </c>
      <c r="D90" s="78">
        <f>B95/12</f>
        <v>11666.666666666666</v>
      </c>
      <c r="E90" s="78">
        <f>C95/6</f>
        <v>30105.208333333332</v>
      </c>
      <c r="F90" s="79">
        <f t="shared" si="4"/>
        <v>41771.875</v>
      </c>
      <c r="G90" s="79"/>
      <c r="H90" s="79">
        <f t="shared" si="5"/>
        <v>553.33333333333337</v>
      </c>
      <c r="I90" s="79">
        <f t="shared" si="6"/>
        <v>42325.208333333336</v>
      </c>
      <c r="K90" s="80">
        <f t="shared" si="7"/>
        <v>6640000</v>
      </c>
    </row>
    <row r="91" spans="1:11" ht="15" x14ac:dyDescent="0.25">
      <c r="A91" s="77">
        <v>42795</v>
      </c>
      <c r="B91" s="78">
        <v>0</v>
      </c>
      <c r="C91" s="78">
        <v>0</v>
      </c>
      <c r="D91" s="78">
        <f>B95/12</f>
        <v>11666.666666666666</v>
      </c>
      <c r="E91" s="78">
        <f>C95/6</f>
        <v>30105.208333333332</v>
      </c>
      <c r="F91" s="79">
        <f t="shared" si="4"/>
        <v>41771.875</v>
      </c>
      <c r="G91" s="79"/>
      <c r="H91" s="79">
        <f t="shared" si="5"/>
        <v>553.33333333333337</v>
      </c>
      <c r="I91" s="79">
        <f t="shared" si="6"/>
        <v>42325.208333333336</v>
      </c>
      <c r="K91" s="80">
        <f t="shared" si="7"/>
        <v>6640000</v>
      </c>
    </row>
    <row r="92" spans="1:11" ht="15" x14ac:dyDescent="0.25">
      <c r="A92" s="77">
        <v>42826</v>
      </c>
      <c r="B92" s="78">
        <v>0</v>
      </c>
      <c r="C92" s="78">
        <v>0</v>
      </c>
      <c r="D92" s="78">
        <f>B95/12</f>
        <v>11666.666666666666</v>
      </c>
      <c r="E92" s="78">
        <f>C95/6</f>
        <v>30105.208333333332</v>
      </c>
      <c r="F92" s="79">
        <f t="shared" si="4"/>
        <v>41771.875</v>
      </c>
      <c r="G92" s="79"/>
      <c r="H92" s="79">
        <f t="shared" si="5"/>
        <v>553.33333333333337</v>
      </c>
      <c r="I92" s="79">
        <f t="shared" si="6"/>
        <v>42325.208333333336</v>
      </c>
      <c r="K92" s="80">
        <f t="shared" si="7"/>
        <v>6640000</v>
      </c>
    </row>
    <row r="93" spans="1:11" ht="15" x14ac:dyDescent="0.25">
      <c r="A93" s="77">
        <v>42856</v>
      </c>
      <c r="B93" s="78">
        <v>0</v>
      </c>
      <c r="C93" s="78">
        <v>0</v>
      </c>
      <c r="D93" s="78">
        <f>B95/12</f>
        <v>11666.666666666666</v>
      </c>
      <c r="E93" s="78">
        <f>C95/6</f>
        <v>30105.208333333332</v>
      </c>
      <c r="F93" s="79">
        <f t="shared" si="4"/>
        <v>41771.875</v>
      </c>
      <c r="G93" s="79"/>
      <c r="H93" s="79">
        <f t="shared" si="5"/>
        <v>553.33333333333337</v>
      </c>
      <c r="I93" s="79">
        <f t="shared" si="6"/>
        <v>42325.208333333336</v>
      </c>
      <c r="K93" s="80">
        <f t="shared" si="7"/>
        <v>6640000</v>
      </c>
    </row>
    <row r="94" spans="1:11" ht="15" x14ac:dyDescent="0.25">
      <c r="A94" s="77">
        <v>42887</v>
      </c>
      <c r="B94" s="78">
        <v>0</v>
      </c>
      <c r="C94" s="78">
        <v>0</v>
      </c>
      <c r="D94" s="78">
        <f>B95/12</f>
        <v>11666.666666666666</v>
      </c>
      <c r="E94" s="78">
        <f>C95/6</f>
        <v>30105.208333333332</v>
      </c>
      <c r="F94" s="79">
        <f t="shared" si="4"/>
        <v>41771.875</v>
      </c>
      <c r="G94" s="79"/>
      <c r="H94" s="79">
        <f t="shared" si="5"/>
        <v>553.33333333333337</v>
      </c>
      <c r="I94" s="79">
        <f t="shared" si="6"/>
        <v>42325.208333333336</v>
      </c>
      <c r="K94" s="80">
        <f t="shared" si="7"/>
        <v>6640000</v>
      </c>
    </row>
    <row r="95" spans="1:11" ht="15" x14ac:dyDescent="0.25">
      <c r="A95" s="77">
        <v>42917</v>
      </c>
      <c r="B95" s="78">
        <v>140000</v>
      </c>
      <c r="C95" s="78">
        <v>180631.25</v>
      </c>
      <c r="D95" s="78">
        <f>B95/12</f>
        <v>11666.666666666666</v>
      </c>
      <c r="E95" s="78">
        <f>C95/6</f>
        <v>30105.208333333332</v>
      </c>
      <c r="F95" s="79">
        <f t="shared" si="4"/>
        <v>41771.875</v>
      </c>
      <c r="G95" s="79"/>
      <c r="H95" s="79">
        <f t="shared" si="5"/>
        <v>541.66666666666663</v>
      </c>
      <c r="I95" s="79">
        <f t="shared" si="6"/>
        <v>42313.541666666664</v>
      </c>
      <c r="J95" s="78">
        <f>SUM(F84:F95)</f>
        <v>501262.5</v>
      </c>
      <c r="K95" s="80">
        <f t="shared" si="7"/>
        <v>6640000</v>
      </c>
    </row>
    <row r="96" spans="1:11" ht="15" x14ac:dyDescent="0.25">
      <c r="A96" s="77">
        <v>42948</v>
      </c>
      <c r="B96" s="78">
        <v>0</v>
      </c>
      <c r="C96" s="78">
        <v>0</v>
      </c>
      <c r="D96" s="78">
        <f>B107/12</f>
        <v>12500</v>
      </c>
      <c r="E96" s="78">
        <f>C101/6</f>
        <v>29492.708333333332</v>
      </c>
      <c r="F96" s="79">
        <f t="shared" si="4"/>
        <v>41992.708333333328</v>
      </c>
      <c r="G96" s="79"/>
      <c r="H96" s="79">
        <f t="shared" si="5"/>
        <v>541.66666666666663</v>
      </c>
      <c r="I96" s="79">
        <f t="shared" si="6"/>
        <v>42534.374999999993</v>
      </c>
      <c r="K96" s="80">
        <f t="shared" si="7"/>
        <v>6500000</v>
      </c>
    </row>
    <row r="97" spans="1:11" ht="15" x14ac:dyDescent="0.25">
      <c r="A97" s="77">
        <v>42979</v>
      </c>
      <c r="B97" s="78">
        <v>0</v>
      </c>
      <c r="C97" s="78">
        <v>0</v>
      </c>
      <c r="D97" s="78">
        <f>B107/12</f>
        <v>12500</v>
      </c>
      <c r="E97" s="78">
        <f>C101/6</f>
        <v>29492.708333333332</v>
      </c>
      <c r="F97" s="79">
        <f t="shared" si="4"/>
        <v>41992.708333333328</v>
      </c>
      <c r="G97" s="79"/>
      <c r="H97" s="79">
        <f t="shared" si="5"/>
        <v>541.66666666666663</v>
      </c>
      <c r="I97" s="79">
        <f t="shared" si="6"/>
        <v>42534.374999999993</v>
      </c>
      <c r="K97" s="80">
        <f t="shared" si="7"/>
        <v>6500000</v>
      </c>
    </row>
    <row r="98" spans="1:11" ht="15" x14ac:dyDescent="0.25">
      <c r="A98" s="77">
        <v>43009</v>
      </c>
      <c r="B98" s="78">
        <v>0</v>
      </c>
      <c r="C98" s="78">
        <v>0</v>
      </c>
      <c r="D98" s="78">
        <f>B107/12</f>
        <v>12500</v>
      </c>
      <c r="E98" s="78">
        <f>C101/6</f>
        <v>29492.708333333332</v>
      </c>
      <c r="F98" s="79">
        <f t="shared" si="4"/>
        <v>41992.708333333328</v>
      </c>
      <c r="G98" s="79"/>
      <c r="H98" s="79">
        <f t="shared" si="5"/>
        <v>541.66666666666663</v>
      </c>
      <c r="I98" s="79">
        <f t="shared" si="6"/>
        <v>42534.374999999993</v>
      </c>
      <c r="K98" s="80">
        <f t="shared" si="7"/>
        <v>6500000</v>
      </c>
    </row>
    <row r="99" spans="1:11" ht="15" x14ac:dyDescent="0.25">
      <c r="A99" s="77">
        <v>43040</v>
      </c>
      <c r="B99" s="78">
        <v>0</v>
      </c>
      <c r="C99" s="78">
        <v>0</v>
      </c>
      <c r="D99" s="78">
        <f>B107/12</f>
        <v>12500</v>
      </c>
      <c r="E99" s="78">
        <f>C101/6</f>
        <v>29492.708333333332</v>
      </c>
      <c r="F99" s="79">
        <f t="shared" si="4"/>
        <v>41992.708333333328</v>
      </c>
      <c r="G99" s="79"/>
      <c r="H99" s="79">
        <f t="shared" si="5"/>
        <v>541.66666666666663</v>
      </c>
      <c r="I99" s="79">
        <f t="shared" si="6"/>
        <v>42534.374999999993</v>
      </c>
      <c r="K99" s="80">
        <f t="shared" si="7"/>
        <v>6500000</v>
      </c>
    </row>
    <row r="100" spans="1:11" ht="15" x14ac:dyDescent="0.25">
      <c r="A100" s="77">
        <v>43070</v>
      </c>
      <c r="B100" s="78">
        <v>0</v>
      </c>
      <c r="C100" s="78">
        <v>0</v>
      </c>
      <c r="D100" s="78">
        <f>B107/12</f>
        <v>12500</v>
      </c>
      <c r="E100" s="78">
        <f>C101/6</f>
        <v>29492.708333333332</v>
      </c>
      <c r="F100" s="79">
        <f t="shared" si="4"/>
        <v>41992.708333333328</v>
      </c>
      <c r="G100" s="79"/>
      <c r="H100" s="79">
        <f t="shared" si="5"/>
        <v>541.66666666666663</v>
      </c>
      <c r="I100" s="79">
        <f t="shared" si="6"/>
        <v>42534.374999999993</v>
      </c>
      <c r="K100" s="80">
        <f t="shared" si="7"/>
        <v>6500000</v>
      </c>
    </row>
    <row r="101" spans="1:11" ht="15" x14ac:dyDescent="0.25">
      <c r="A101" s="77">
        <v>43101</v>
      </c>
      <c r="B101" s="78">
        <v>0</v>
      </c>
      <c r="C101" s="78">
        <v>176956.25</v>
      </c>
      <c r="D101" s="78">
        <f>B107/12</f>
        <v>12500</v>
      </c>
      <c r="E101" s="78">
        <f>C101/6</f>
        <v>29492.708333333332</v>
      </c>
      <c r="F101" s="79">
        <f t="shared" si="4"/>
        <v>41992.708333333328</v>
      </c>
      <c r="G101" s="79"/>
      <c r="H101" s="79">
        <f t="shared" si="5"/>
        <v>541.66666666666663</v>
      </c>
      <c r="I101" s="79">
        <f t="shared" si="6"/>
        <v>42534.374999999993</v>
      </c>
      <c r="K101" s="80">
        <f t="shared" si="7"/>
        <v>6500000</v>
      </c>
    </row>
    <row r="102" spans="1:11" ht="15" x14ac:dyDescent="0.25">
      <c r="A102" s="77">
        <v>43132</v>
      </c>
      <c r="B102" s="78">
        <v>0</v>
      </c>
      <c r="C102" s="78">
        <v>0</v>
      </c>
      <c r="D102" s="78">
        <f>B107/12</f>
        <v>12500</v>
      </c>
      <c r="E102" s="78">
        <f>C107/6</f>
        <v>29492.708333333332</v>
      </c>
      <c r="F102" s="79">
        <f t="shared" si="4"/>
        <v>41992.708333333328</v>
      </c>
      <c r="G102" s="79"/>
      <c r="H102" s="79">
        <f t="shared" si="5"/>
        <v>541.66666666666663</v>
      </c>
      <c r="I102" s="79">
        <f t="shared" si="6"/>
        <v>42534.374999999993</v>
      </c>
      <c r="J102" s="81"/>
      <c r="K102" s="80">
        <f t="shared" si="7"/>
        <v>6500000</v>
      </c>
    </row>
    <row r="103" spans="1:11" ht="15" x14ac:dyDescent="0.25">
      <c r="A103" s="77">
        <v>43160</v>
      </c>
      <c r="B103" s="78">
        <v>0</v>
      </c>
      <c r="C103" s="78">
        <v>0</v>
      </c>
      <c r="D103" s="78">
        <f>B107/12</f>
        <v>12500</v>
      </c>
      <c r="E103" s="78">
        <f>C107/6</f>
        <v>29492.708333333332</v>
      </c>
      <c r="F103" s="79">
        <f t="shared" si="4"/>
        <v>41992.708333333328</v>
      </c>
      <c r="G103" s="79"/>
      <c r="H103" s="79">
        <f t="shared" si="5"/>
        <v>541.66666666666663</v>
      </c>
      <c r="I103" s="79">
        <f t="shared" si="6"/>
        <v>42534.374999999993</v>
      </c>
      <c r="K103" s="80">
        <f t="shared" si="7"/>
        <v>6500000</v>
      </c>
    </row>
    <row r="104" spans="1:11" ht="15" x14ac:dyDescent="0.25">
      <c r="A104" s="77">
        <v>43191</v>
      </c>
      <c r="B104" s="78">
        <v>0</v>
      </c>
      <c r="C104" s="78">
        <v>0</v>
      </c>
      <c r="D104" s="78">
        <f>B107/12</f>
        <v>12500</v>
      </c>
      <c r="E104" s="78">
        <f>C107/6</f>
        <v>29492.708333333332</v>
      </c>
      <c r="F104" s="79">
        <f t="shared" si="4"/>
        <v>41992.708333333328</v>
      </c>
      <c r="G104" s="79"/>
      <c r="H104" s="79">
        <f t="shared" si="5"/>
        <v>541.66666666666663</v>
      </c>
      <c r="I104" s="79">
        <f t="shared" si="6"/>
        <v>42534.374999999993</v>
      </c>
      <c r="K104" s="80">
        <f t="shared" si="7"/>
        <v>6500000</v>
      </c>
    </row>
    <row r="105" spans="1:11" ht="15" x14ac:dyDescent="0.25">
      <c r="A105" s="77">
        <v>43221</v>
      </c>
      <c r="B105" s="78">
        <v>0</v>
      </c>
      <c r="C105" s="78">
        <v>0</v>
      </c>
      <c r="D105" s="78">
        <f>B107/12</f>
        <v>12500</v>
      </c>
      <c r="E105" s="78">
        <f>C107/6</f>
        <v>29492.708333333332</v>
      </c>
      <c r="F105" s="79">
        <f t="shared" si="4"/>
        <v>41992.708333333328</v>
      </c>
      <c r="G105" s="79"/>
      <c r="H105" s="79">
        <f t="shared" si="5"/>
        <v>541.66666666666663</v>
      </c>
      <c r="I105" s="79">
        <f t="shared" si="6"/>
        <v>42534.374999999993</v>
      </c>
      <c r="K105" s="80">
        <f t="shared" si="7"/>
        <v>6500000</v>
      </c>
    </row>
    <row r="106" spans="1:11" ht="15" x14ac:dyDescent="0.25">
      <c r="A106" s="77">
        <v>43252</v>
      </c>
      <c r="B106" s="78">
        <v>0</v>
      </c>
      <c r="C106" s="78">
        <v>0</v>
      </c>
      <c r="D106" s="78">
        <f>B107/12</f>
        <v>12500</v>
      </c>
      <c r="E106" s="78">
        <f>C107/6</f>
        <v>29492.708333333332</v>
      </c>
      <c r="F106" s="79">
        <f t="shared" si="4"/>
        <v>41992.708333333328</v>
      </c>
      <c r="G106" s="79"/>
      <c r="H106" s="79">
        <f t="shared" si="5"/>
        <v>541.66666666666663</v>
      </c>
      <c r="I106" s="79">
        <f t="shared" si="6"/>
        <v>42534.374999999993</v>
      </c>
      <c r="K106" s="80">
        <f t="shared" si="7"/>
        <v>6500000</v>
      </c>
    </row>
    <row r="107" spans="1:11" ht="15" x14ac:dyDescent="0.25">
      <c r="A107" s="77">
        <v>43282</v>
      </c>
      <c r="B107" s="78">
        <v>150000</v>
      </c>
      <c r="C107" s="78">
        <v>176956.25</v>
      </c>
      <c r="D107" s="78">
        <f>B107/12</f>
        <v>12500</v>
      </c>
      <c r="E107" s="78">
        <f>C107/6</f>
        <v>29492.708333333332</v>
      </c>
      <c r="F107" s="79">
        <f t="shared" si="4"/>
        <v>41992.708333333328</v>
      </c>
      <c r="G107" s="79"/>
      <c r="H107" s="79">
        <f t="shared" si="5"/>
        <v>529.16666666666663</v>
      </c>
      <c r="I107" s="79">
        <f t="shared" si="6"/>
        <v>42521.874999999993</v>
      </c>
      <c r="J107" s="78">
        <f>SUM(F96:F107)</f>
        <v>503912.49999999983</v>
      </c>
      <c r="K107" s="80">
        <f t="shared" si="7"/>
        <v>6500000</v>
      </c>
    </row>
    <row r="108" spans="1:11" ht="15" x14ac:dyDescent="0.25">
      <c r="A108" s="77">
        <v>43313</v>
      </c>
      <c r="B108" s="78">
        <v>0</v>
      </c>
      <c r="C108" s="78">
        <v>0</v>
      </c>
      <c r="D108" s="78">
        <f>B119/12</f>
        <v>13333.333333333334</v>
      </c>
      <c r="E108" s="78">
        <f>C113/6</f>
        <v>28836.458333333332</v>
      </c>
      <c r="F108" s="79">
        <f t="shared" si="4"/>
        <v>42169.791666666664</v>
      </c>
      <c r="G108" s="79"/>
      <c r="H108" s="79">
        <f t="shared" si="5"/>
        <v>529.16666666666663</v>
      </c>
      <c r="I108" s="79">
        <f t="shared" si="6"/>
        <v>42698.958333333328</v>
      </c>
      <c r="K108" s="80">
        <f t="shared" si="7"/>
        <v>6350000</v>
      </c>
    </row>
    <row r="109" spans="1:11" ht="15" x14ac:dyDescent="0.25">
      <c r="A109" s="77">
        <v>43344</v>
      </c>
      <c r="B109" s="78">
        <v>0</v>
      </c>
      <c r="C109" s="78">
        <v>0</v>
      </c>
      <c r="D109" s="78">
        <f>B119/12</f>
        <v>13333.333333333334</v>
      </c>
      <c r="E109" s="78">
        <f>C113/6</f>
        <v>28836.458333333332</v>
      </c>
      <c r="F109" s="79">
        <f t="shared" si="4"/>
        <v>42169.791666666664</v>
      </c>
      <c r="G109" s="79"/>
      <c r="H109" s="79">
        <f t="shared" si="5"/>
        <v>529.16666666666663</v>
      </c>
      <c r="I109" s="79">
        <f t="shared" si="6"/>
        <v>42698.958333333328</v>
      </c>
      <c r="K109" s="80">
        <f t="shared" si="7"/>
        <v>6350000</v>
      </c>
    </row>
    <row r="110" spans="1:11" ht="15" x14ac:dyDescent="0.25">
      <c r="A110" s="77">
        <v>43374</v>
      </c>
      <c r="B110" s="78">
        <v>0</v>
      </c>
      <c r="C110" s="78">
        <v>0</v>
      </c>
      <c r="D110" s="78">
        <f>B119/12</f>
        <v>13333.333333333334</v>
      </c>
      <c r="E110" s="78">
        <f>C113/6</f>
        <v>28836.458333333332</v>
      </c>
      <c r="F110" s="79">
        <f t="shared" si="4"/>
        <v>42169.791666666664</v>
      </c>
      <c r="G110" s="79"/>
      <c r="H110" s="79">
        <f t="shared" si="5"/>
        <v>529.16666666666663</v>
      </c>
      <c r="I110" s="79">
        <f t="shared" si="6"/>
        <v>42698.958333333328</v>
      </c>
      <c r="K110" s="80">
        <f t="shared" si="7"/>
        <v>6350000</v>
      </c>
    </row>
    <row r="111" spans="1:11" ht="15" x14ac:dyDescent="0.25">
      <c r="A111" s="77">
        <v>43405</v>
      </c>
      <c r="B111" s="78">
        <v>0</v>
      </c>
      <c r="C111" s="78">
        <v>0</v>
      </c>
      <c r="D111" s="78">
        <f>B119/12</f>
        <v>13333.333333333334</v>
      </c>
      <c r="E111" s="78">
        <f>C113/6</f>
        <v>28836.458333333332</v>
      </c>
      <c r="F111" s="79">
        <f t="shared" si="4"/>
        <v>42169.791666666664</v>
      </c>
      <c r="G111" s="79"/>
      <c r="H111" s="79">
        <f t="shared" si="5"/>
        <v>529.16666666666663</v>
      </c>
      <c r="I111" s="79">
        <f t="shared" si="6"/>
        <v>42698.958333333328</v>
      </c>
      <c r="K111" s="80">
        <f t="shared" si="7"/>
        <v>6350000</v>
      </c>
    </row>
    <row r="112" spans="1:11" ht="15" x14ac:dyDescent="0.25">
      <c r="A112" s="77">
        <v>43435</v>
      </c>
      <c r="B112" s="78">
        <v>0</v>
      </c>
      <c r="C112" s="78">
        <v>0</v>
      </c>
      <c r="D112" s="78">
        <f>B119/12</f>
        <v>13333.333333333334</v>
      </c>
      <c r="E112" s="78">
        <f>C113/6</f>
        <v>28836.458333333332</v>
      </c>
      <c r="F112" s="79">
        <f t="shared" si="4"/>
        <v>42169.791666666664</v>
      </c>
      <c r="G112" s="79"/>
      <c r="H112" s="79">
        <f t="shared" si="5"/>
        <v>529.16666666666663</v>
      </c>
      <c r="I112" s="79">
        <f t="shared" si="6"/>
        <v>42698.958333333328</v>
      </c>
      <c r="K112" s="80">
        <f t="shared" si="7"/>
        <v>6350000</v>
      </c>
    </row>
    <row r="113" spans="1:11" ht="15" x14ac:dyDescent="0.25">
      <c r="A113" s="77">
        <v>43466</v>
      </c>
      <c r="B113" s="78">
        <v>0</v>
      </c>
      <c r="C113" s="78">
        <v>173018.75</v>
      </c>
      <c r="D113" s="78">
        <f>B119/12</f>
        <v>13333.333333333334</v>
      </c>
      <c r="E113" s="78">
        <f>C113/6</f>
        <v>28836.458333333332</v>
      </c>
      <c r="F113" s="79">
        <f t="shared" si="4"/>
        <v>42169.791666666664</v>
      </c>
      <c r="G113" s="79"/>
      <c r="H113" s="79">
        <f t="shared" si="5"/>
        <v>529.16666666666663</v>
      </c>
      <c r="I113" s="79">
        <f t="shared" si="6"/>
        <v>42698.958333333328</v>
      </c>
      <c r="K113" s="80">
        <f t="shared" si="7"/>
        <v>6350000</v>
      </c>
    </row>
    <row r="114" spans="1:11" ht="15" x14ac:dyDescent="0.25">
      <c r="A114" s="77">
        <v>43497</v>
      </c>
      <c r="B114" s="78">
        <v>0</v>
      </c>
      <c r="C114" s="78">
        <v>0</v>
      </c>
      <c r="D114" s="78">
        <f>B119/12</f>
        <v>13333.333333333334</v>
      </c>
      <c r="E114" s="78">
        <f>C119/6</f>
        <v>28836.458333333332</v>
      </c>
      <c r="F114" s="79">
        <f t="shared" si="4"/>
        <v>42169.791666666664</v>
      </c>
      <c r="G114" s="79"/>
      <c r="H114" s="79">
        <f t="shared" si="5"/>
        <v>529.16666666666663</v>
      </c>
      <c r="I114" s="79">
        <f t="shared" si="6"/>
        <v>42698.958333333328</v>
      </c>
      <c r="K114" s="80">
        <f t="shared" si="7"/>
        <v>6350000</v>
      </c>
    </row>
    <row r="115" spans="1:11" ht="15" x14ac:dyDescent="0.25">
      <c r="A115" s="77">
        <v>43525</v>
      </c>
      <c r="B115" s="78">
        <v>0</v>
      </c>
      <c r="C115" s="78">
        <v>0</v>
      </c>
      <c r="D115" s="78">
        <f>B119/12</f>
        <v>13333.333333333334</v>
      </c>
      <c r="E115" s="78">
        <f>C119/6</f>
        <v>28836.458333333332</v>
      </c>
      <c r="F115" s="79">
        <f t="shared" si="4"/>
        <v>42169.791666666664</v>
      </c>
      <c r="G115" s="79"/>
      <c r="H115" s="79">
        <f t="shared" si="5"/>
        <v>529.16666666666663</v>
      </c>
      <c r="I115" s="79">
        <f t="shared" si="6"/>
        <v>42698.958333333328</v>
      </c>
      <c r="K115" s="80">
        <f t="shared" si="7"/>
        <v>6350000</v>
      </c>
    </row>
    <row r="116" spans="1:11" ht="15" x14ac:dyDescent="0.25">
      <c r="A116" s="77">
        <v>43556</v>
      </c>
      <c r="B116" s="78">
        <v>0</v>
      </c>
      <c r="C116" s="78">
        <v>0</v>
      </c>
      <c r="D116" s="78">
        <f>B119/12</f>
        <v>13333.333333333334</v>
      </c>
      <c r="E116" s="78">
        <f>C119/6</f>
        <v>28836.458333333332</v>
      </c>
      <c r="F116" s="79">
        <f t="shared" si="4"/>
        <v>42169.791666666664</v>
      </c>
      <c r="G116" s="79"/>
      <c r="H116" s="79">
        <f t="shared" si="5"/>
        <v>529.16666666666663</v>
      </c>
      <c r="I116" s="79">
        <f t="shared" si="6"/>
        <v>42698.958333333328</v>
      </c>
      <c r="K116" s="80">
        <f t="shared" si="7"/>
        <v>6350000</v>
      </c>
    </row>
    <row r="117" spans="1:11" ht="15" x14ac:dyDescent="0.25">
      <c r="A117" s="77">
        <v>43586</v>
      </c>
      <c r="B117" s="78">
        <v>0</v>
      </c>
      <c r="C117" s="78">
        <v>0</v>
      </c>
      <c r="D117" s="78">
        <f>B119/12</f>
        <v>13333.333333333334</v>
      </c>
      <c r="E117" s="78">
        <f>C119/6</f>
        <v>28836.458333333332</v>
      </c>
      <c r="F117" s="79">
        <f t="shared" si="4"/>
        <v>42169.791666666664</v>
      </c>
      <c r="G117" s="79"/>
      <c r="H117" s="79">
        <f t="shared" si="5"/>
        <v>529.16666666666663</v>
      </c>
      <c r="I117" s="79">
        <f t="shared" si="6"/>
        <v>42698.958333333328</v>
      </c>
      <c r="K117" s="80">
        <f t="shared" si="7"/>
        <v>6350000</v>
      </c>
    </row>
    <row r="118" spans="1:11" ht="15" x14ac:dyDescent="0.25">
      <c r="A118" s="77">
        <v>43617</v>
      </c>
      <c r="B118" s="78">
        <v>0</v>
      </c>
      <c r="C118" s="78">
        <v>0</v>
      </c>
      <c r="D118" s="78">
        <f>B119/12</f>
        <v>13333.333333333334</v>
      </c>
      <c r="E118" s="78">
        <f>C119/6</f>
        <v>28836.458333333332</v>
      </c>
      <c r="F118" s="79">
        <f t="shared" si="4"/>
        <v>42169.791666666664</v>
      </c>
      <c r="G118" s="79"/>
      <c r="H118" s="79">
        <f t="shared" si="5"/>
        <v>529.16666666666663</v>
      </c>
      <c r="I118" s="79">
        <f t="shared" si="6"/>
        <v>42698.958333333328</v>
      </c>
      <c r="K118" s="80">
        <f t="shared" si="7"/>
        <v>6350000</v>
      </c>
    </row>
    <row r="119" spans="1:11" ht="15" x14ac:dyDescent="0.25">
      <c r="A119" s="77">
        <v>43647</v>
      </c>
      <c r="B119" s="78">
        <v>160000</v>
      </c>
      <c r="C119" s="78">
        <v>173018.75</v>
      </c>
      <c r="D119" s="78">
        <f>B119/12</f>
        <v>13333.333333333334</v>
      </c>
      <c r="E119" s="78">
        <f>C119/6</f>
        <v>28836.458333333332</v>
      </c>
      <c r="F119" s="79">
        <f t="shared" si="4"/>
        <v>42169.791666666664</v>
      </c>
      <c r="G119" s="79"/>
      <c r="H119" s="79">
        <f t="shared" si="5"/>
        <v>515.83333333333337</v>
      </c>
      <c r="I119" s="79">
        <f t="shared" si="6"/>
        <v>42685.625</v>
      </c>
      <c r="J119" s="78">
        <f>SUM(F108:F119)</f>
        <v>506037.50000000006</v>
      </c>
      <c r="K119" s="80">
        <f t="shared" si="7"/>
        <v>6350000</v>
      </c>
    </row>
    <row r="120" spans="1:11" ht="15" x14ac:dyDescent="0.25">
      <c r="A120" s="77">
        <v>43678</v>
      </c>
      <c r="B120" s="78">
        <v>0</v>
      </c>
      <c r="C120" s="78">
        <v>0</v>
      </c>
      <c r="D120" s="78">
        <f>B131/12</f>
        <v>13750</v>
      </c>
      <c r="E120" s="78">
        <f>C125/6</f>
        <v>28136.458333333332</v>
      </c>
      <c r="F120" s="79">
        <f t="shared" si="4"/>
        <v>41886.458333333328</v>
      </c>
      <c r="G120" s="79"/>
      <c r="H120" s="79">
        <f t="shared" si="5"/>
        <v>515.83333333333337</v>
      </c>
      <c r="I120" s="79">
        <f t="shared" si="6"/>
        <v>42402.291666666664</v>
      </c>
      <c r="K120" s="80">
        <f t="shared" si="7"/>
        <v>6190000</v>
      </c>
    </row>
    <row r="121" spans="1:11" ht="15" x14ac:dyDescent="0.25">
      <c r="A121" s="77">
        <v>43709</v>
      </c>
      <c r="B121" s="78">
        <v>0</v>
      </c>
      <c r="C121" s="78">
        <v>0</v>
      </c>
      <c r="D121" s="78">
        <f>B131/12</f>
        <v>13750</v>
      </c>
      <c r="E121" s="78">
        <f>C125/6</f>
        <v>28136.458333333332</v>
      </c>
      <c r="F121" s="79">
        <f t="shared" si="4"/>
        <v>41886.458333333328</v>
      </c>
      <c r="G121" s="79"/>
      <c r="H121" s="79">
        <f t="shared" si="5"/>
        <v>515.83333333333337</v>
      </c>
      <c r="I121" s="79">
        <f t="shared" si="6"/>
        <v>42402.291666666664</v>
      </c>
      <c r="K121" s="80">
        <f t="shared" si="7"/>
        <v>6190000</v>
      </c>
    </row>
    <row r="122" spans="1:11" ht="15" x14ac:dyDescent="0.25">
      <c r="A122" s="77">
        <v>43739</v>
      </c>
      <c r="B122" s="78">
        <v>0</v>
      </c>
      <c r="C122" s="78">
        <v>0</v>
      </c>
      <c r="D122" s="78">
        <f>B131/12</f>
        <v>13750</v>
      </c>
      <c r="E122" s="78">
        <f>C125/6</f>
        <v>28136.458333333332</v>
      </c>
      <c r="F122" s="79">
        <f t="shared" si="4"/>
        <v>41886.458333333328</v>
      </c>
      <c r="G122" s="79"/>
      <c r="H122" s="79">
        <f t="shared" si="5"/>
        <v>515.83333333333337</v>
      </c>
      <c r="I122" s="79">
        <f t="shared" si="6"/>
        <v>42402.291666666664</v>
      </c>
      <c r="K122" s="80">
        <f t="shared" si="7"/>
        <v>6190000</v>
      </c>
    </row>
    <row r="123" spans="1:11" ht="15" x14ac:dyDescent="0.25">
      <c r="A123" s="77">
        <v>43770</v>
      </c>
      <c r="B123" s="78">
        <v>0</v>
      </c>
      <c r="C123" s="78">
        <v>0</v>
      </c>
      <c r="D123" s="78">
        <f>B131/12</f>
        <v>13750</v>
      </c>
      <c r="E123" s="78">
        <f>C125/6</f>
        <v>28136.458333333332</v>
      </c>
      <c r="F123" s="79">
        <f t="shared" si="4"/>
        <v>41886.458333333328</v>
      </c>
      <c r="G123" s="79"/>
      <c r="H123" s="79">
        <f t="shared" si="5"/>
        <v>515.83333333333337</v>
      </c>
      <c r="I123" s="79">
        <f t="shared" si="6"/>
        <v>42402.291666666664</v>
      </c>
      <c r="K123" s="80">
        <f t="shared" si="7"/>
        <v>6190000</v>
      </c>
    </row>
    <row r="124" spans="1:11" ht="15" x14ac:dyDescent="0.25">
      <c r="A124" s="77">
        <v>43800</v>
      </c>
      <c r="B124" s="78">
        <v>0</v>
      </c>
      <c r="C124" s="78">
        <v>0</v>
      </c>
      <c r="D124" s="78">
        <f>B131/12</f>
        <v>13750</v>
      </c>
      <c r="E124" s="78">
        <f>C125/6</f>
        <v>28136.458333333332</v>
      </c>
      <c r="F124" s="79">
        <f t="shared" si="4"/>
        <v>41886.458333333328</v>
      </c>
      <c r="G124" s="79"/>
      <c r="H124" s="79">
        <f t="shared" si="5"/>
        <v>515.83333333333337</v>
      </c>
      <c r="I124" s="79">
        <f t="shared" si="6"/>
        <v>42402.291666666664</v>
      </c>
      <c r="K124" s="80">
        <f t="shared" si="7"/>
        <v>6190000</v>
      </c>
    </row>
    <row r="125" spans="1:11" ht="15" x14ac:dyDescent="0.25">
      <c r="A125" s="77">
        <v>43831</v>
      </c>
      <c r="B125" s="78">
        <v>0</v>
      </c>
      <c r="C125" s="78">
        <v>168818.75</v>
      </c>
      <c r="D125" s="78">
        <f>B131/12</f>
        <v>13750</v>
      </c>
      <c r="E125" s="78">
        <f>C125/6</f>
        <v>28136.458333333332</v>
      </c>
      <c r="F125" s="79">
        <f t="shared" si="4"/>
        <v>41886.458333333328</v>
      </c>
      <c r="G125" s="79"/>
      <c r="H125" s="79">
        <f t="shared" si="5"/>
        <v>515.83333333333337</v>
      </c>
      <c r="I125" s="79">
        <f t="shared" si="6"/>
        <v>42402.291666666664</v>
      </c>
      <c r="K125" s="80">
        <f t="shared" si="7"/>
        <v>6190000</v>
      </c>
    </row>
    <row r="126" spans="1:11" ht="15" x14ac:dyDescent="0.25">
      <c r="A126" s="77">
        <v>43862</v>
      </c>
      <c r="B126" s="78">
        <v>0</v>
      </c>
      <c r="C126" s="78">
        <v>0</v>
      </c>
      <c r="D126" s="78">
        <f>B131/12</f>
        <v>13750</v>
      </c>
      <c r="E126" s="78">
        <f>C131/6</f>
        <v>28136.458333333332</v>
      </c>
      <c r="F126" s="79">
        <f t="shared" si="4"/>
        <v>41886.458333333328</v>
      </c>
      <c r="G126" s="79"/>
      <c r="H126" s="79">
        <f t="shared" si="5"/>
        <v>515.83333333333337</v>
      </c>
      <c r="I126" s="79">
        <f t="shared" si="6"/>
        <v>42402.291666666664</v>
      </c>
      <c r="J126" s="81"/>
      <c r="K126" s="80">
        <f t="shared" si="7"/>
        <v>6190000</v>
      </c>
    </row>
    <row r="127" spans="1:11" ht="15" x14ac:dyDescent="0.25">
      <c r="A127" s="77">
        <v>43891</v>
      </c>
      <c r="B127" s="78">
        <v>0</v>
      </c>
      <c r="C127" s="78">
        <v>0</v>
      </c>
      <c r="D127" s="78">
        <f>B131/12</f>
        <v>13750</v>
      </c>
      <c r="E127" s="78">
        <f>C131/6</f>
        <v>28136.458333333332</v>
      </c>
      <c r="F127" s="79">
        <f t="shared" si="4"/>
        <v>41886.458333333328</v>
      </c>
      <c r="G127" s="79"/>
      <c r="H127" s="79">
        <f t="shared" si="5"/>
        <v>515.83333333333337</v>
      </c>
      <c r="I127" s="79">
        <f t="shared" si="6"/>
        <v>42402.291666666664</v>
      </c>
      <c r="K127" s="80">
        <f t="shared" si="7"/>
        <v>6190000</v>
      </c>
    </row>
    <row r="128" spans="1:11" ht="15" x14ac:dyDescent="0.25">
      <c r="A128" s="77">
        <v>43922</v>
      </c>
      <c r="B128" s="78">
        <v>0</v>
      </c>
      <c r="C128" s="78">
        <v>0</v>
      </c>
      <c r="D128" s="78">
        <f>B131/12</f>
        <v>13750</v>
      </c>
      <c r="E128" s="78">
        <f>C131/6</f>
        <v>28136.458333333332</v>
      </c>
      <c r="F128" s="79">
        <f t="shared" si="4"/>
        <v>41886.458333333328</v>
      </c>
      <c r="G128" s="79"/>
      <c r="H128" s="79">
        <f t="shared" si="5"/>
        <v>515.83333333333337</v>
      </c>
      <c r="I128" s="79">
        <f t="shared" si="6"/>
        <v>42402.291666666664</v>
      </c>
      <c r="K128" s="80">
        <f t="shared" si="7"/>
        <v>6190000</v>
      </c>
    </row>
    <row r="129" spans="1:11" ht="15" x14ac:dyDescent="0.25">
      <c r="A129" s="77">
        <v>43952</v>
      </c>
      <c r="B129" s="78">
        <v>0</v>
      </c>
      <c r="C129" s="78">
        <v>0</v>
      </c>
      <c r="D129" s="78">
        <f>B131/12</f>
        <v>13750</v>
      </c>
      <c r="E129" s="78">
        <f>C131/6</f>
        <v>28136.458333333332</v>
      </c>
      <c r="F129" s="79">
        <f t="shared" si="4"/>
        <v>41886.458333333328</v>
      </c>
      <c r="G129" s="79"/>
      <c r="H129" s="79">
        <f t="shared" si="5"/>
        <v>515.83333333333337</v>
      </c>
      <c r="I129" s="79">
        <f t="shared" si="6"/>
        <v>42402.291666666664</v>
      </c>
      <c r="K129" s="80">
        <f t="shared" si="7"/>
        <v>6190000</v>
      </c>
    </row>
    <row r="130" spans="1:11" ht="15" x14ac:dyDescent="0.25">
      <c r="A130" s="77">
        <v>43983</v>
      </c>
      <c r="B130" s="78">
        <v>0</v>
      </c>
      <c r="C130" s="78">
        <v>0</v>
      </c>
      <c r="D130" s="78">
        <f>B131/12</f>
        <v>13750</v>
      </c>
      <c r="E130" s="78">
        <f>C131/6</f>
        <v>28136.458333333332</v>
      </c>
      <c r="F130" s="79">
        <f t="shared" si="4"/>
        <v>41886.458333333328</v>
      </c>
      <c r="G130" s="79"/>
      <c r="H130" s="79">
        <f t="shared" si="5"/>
        <v>515.83333333333337</v>
      </c>
      <c r="I130" s="79">
        <f t="shared" si="6"/>
        <v>42402.291666666664</v>
      </c>
      <c r="K130" s="80">
        <f t="shared" si="7"/>
        <v>6190000</v>
      </c>
    </row>
    <row r="131" spans="1:11" ht="15" x14ac:dyDescent="0.25">
      <c r="A131" s="77">
        <v>44013</v>
      </c>
      <c r="B131" s="78">
        <v>165000</v>
      </c>
      <c r="C131" s="78">
        <v>168818.75</v>
      </c>
      <c r="D131" s="78">
        <f>B131/12</f>
        <v>13750</v>
      </c>
      <c r="E131" s="78">
        <f>C131/6</f>
        <v>28136.458333333332</v>
      </c>
      <c r="F131" s="79">
        <f t="shared" si="4"/>
        <v>41886.458333333328</v>
      </c>
      <c r="G131" s="79"/>
      <c r="H131" s="79">
        <f t="shared" si="5"/>
        <v>502.08333333333331</v>
      </c>
      <c r="I131" s="79">
        <f t="shared" si="6"/>
        <v>42388.541666666664</v>
      </c>
      <c r="J131" s="78">
        <f>SUM(F120:F131)</f>
        <v>502637.49999999983</v>
      </c>
      <c r="K131" s="80">
        <f t="shared" si="7"/>
        <v>6190000</v>
      </c>
    </row>
    <row r="132" spans="1:11" ht="15" x14ac:dyDescent="0.25">
      <c r="A132" s="77">
        <v>44044</v>
      </c>
      <c r="B132" s="78">
        <v>0</v>
      </c>
      <c r="C132" s="78">
        <v>0</v>
      </c>
      <c r="D132" s="78">
        <f>B143/12</f>
        <v>14583.333333333334</v>
      </c>
      <c r="E132" s="78">
        <f>C137/6</f>
        <v>27414.583333333332</v>
      </c>
      <c r="F132" s="79">
        <f t="shared" si="4"/>
        <v>41997.916666666664</v>
      </c>
      <c r="G132" s="79"/>
      <c r="H132" s="79">
        <f t="shared" si="5"/>
        <v>502.08333333333331</v>
      </c>
      <c r="I132" s="79">
        <f t="shared" si="6"/>
        <v>42500</v>
      </c>
      <c r="K132" s="80">
        <f t="shared" si="7"/>
        <v>6025000</v>
      </c>
    </row>
    <row r="133" spans="1:11" ht="15" x14ac:dyDescent="0.25">
      <c r="A133" s="77">
        <v>44075</v>
      </c>
      <c r="B133" s="78">
        <v>0</v>
      </c>
      <c r="C133" s="78">
        <v>0</v>
      </c>
      <c r="D133" s="78">
        <f>B143/12</f>
        <v>14583.333333333334</v>
      </c>
      <c r="E133" s="78">
        <f>C137/6</f>
        <v>27414.583333333332</v>
      </c>
      <c r="F133" s="79">
        <f t="shared" si="4"/>
        <v>41997.916666666664</v>
      </c>
      <c r="G133" s="79"/>
      <c r="H133" s="79">
        <f t="shared" si="5"/>
        <v>502.08333333333331</v>
      </c>
      <c r="I133" s="79">
        <f t="shared" si="6"/>
        <v>42500</v>
      </c>
      <c r="K133" s="80">
        <f t="shared" si="7"/>
        <v>6025000</v>
      </c>
    </row>
    <row r="134" spans="1:11" ht="15" x14ac:dyDescent="0.25">
      <c r="A134" s="77">
        <v>44105</v>
      </c>
      <c r="B134" s="78">
        <v>0</v>
      </c>
      <c r="C134" s="78">
        <v>0</v>
      </c>
      <c r="D134" s="78">
        <f>B143/12</f>
        <v>14583.333333333334</v>
      </c>
      <c r="E134" s="78">
        <f>C137/6</f>
        <v>27414.583333333332</v>
      </c>
      <c r="F134" s="79">
        <f t="shared" si="4"/>
        <v>41997.916666666664</v>
      </c>
      <c r="G134" s="79"/>
      <c r="H134" s="79">
        <f t="shared" si="5"/>
        <v>502.08333333333331</v>
      </c>
      <c r="I134" s="79">
        <f t="shared" si="6"/>
        <v>42500</v>
      </c>
      <c r="K134" s="80">
        <f t="shared" si="7"/>
        <v>6025000</v>
      </c>
    </row>
    <row r="135" spans="1:11" ht="15" x14ac:dyDescent="0.25">
      <c r="A135" s="77">
        <v>44136</v>
      </c>
      <c r="B135" s="78">
        <v>0</v>
      </c>
      <c r="C135" s="78">
        <v>0</v>
      </c>
      <c r="D135" s="78">
        <f>B143/12</f>
        <v>14583.333333333334</v>
      </c>
      <c r="E135" s="78">
        <f>C137/6</f>
        <v>27414.583333333332</v>
      </c>
      <c r="F135" s="79">
        <f t="shared" si="4"/>
        <v>41997.916666666664</v>
      </c>
      <c r="G135" s="79"/>
      <c r="H135" s="79">
        <f t="shared" si="5"/>
        <v>502.08333333333331</v>
      </c>
      <c r="I135" s="79">
        <f t="shared" si="6"/>
        <v>42500</v>
      </c>
      <c r="K135" s="80">
        <f t="shared" si="7"/>
        <v>6025000</v>
      </c>
    </row>
    <row r="136" spans="1:11" ht="15" x14ac:dyDescent="0.25">
      <c r="A136" s="77">
        <v>44166</v>
      </c>
      <c r="B136" s="78">
        <v>0</v>
      </c>
      <c r="C136" s="78">
        <v>0</v>
      </c>
      <c r="D136" s="78">
        <f>B143/12</f>
        <v>14583.333333333334</v>
      </c>
      <c r="E136" s="78">
        <f>C137/6</f>
        <v>27414.583333333332</v>
      </c>
      <c r="F136" s="79">
        <f t="shared" ref="F136:F199" si="8">D136+E136</f>
        <v>41997.916666666664</v>
      </c>
      <c r="G136" s="79"/>
      <c r="H136" s="79">
        <f t="shared" si="5"/>
        <v>502.08333333333331</v>
      </c>
      <c r="I136" s="79">
        <f t="shared" si="6"/>
        <v>42500</v>
      </c>
      <c r="K136" s="80">
        <f t="shared" si="7"/>
        <v>6025000</v>
      </c>
    </row>
    <row r="137" spans="1:11" ht="15" x14ac:dyDescent="0.25">
      <c r="A137" s="77">
        <v>44197</v>
      </c>
      <c r="B137" s="78">
        <v>0</v>
      </c>
      <c r="C137" s="78">
        <v>164487.5</v>
      </c>
      <c r="D137" s="78">
        <f>B143/12</f>
        <v>14583.333333333334</v>
      </c>
      <c r="E137" s="78">
        <f>C137/6</f>
        <v>27414.583333333332</v>
      </c>
      <c r="F137" s="79">
        <f t="shared" si="8"/>
        <v>41997.916666666664</v>
      </c>
      <c r="G137" s="79"/>
      <c r="H137" s="79">
        <f t="shared" ref="H137:H200" si="9">+(K138*0.001)/12</f>
        <v>502.08333333333331</v>
      </c>
      <c r="I137" s="79">
        <f t="shared" ref="I137:I200" si="10">+F137+G137+H137</f>
        <v>42500</v>
      </c>
      <c r="K137" s="80">
        <f t="shared" si="7"/>
        <v>6025000</v>
      </c>
    </row>
    <row r="138" spans="1:11" ht="15" x14ac:dyDescent="0.25">
      <c r="A138" s="77">
        <v>44228</v>
      </c>
      <c r="B138" s="78">
        <v>0</v>
      </c>
      <c r="C138" s="78">
        <v>0</v>
      </c>
      <c r="D138" s="78">
        <f>B143/12</f>
        <v>14583.333333333334</v>
      </c>
      <c r="E138" s="78">
        <f>C143/6</f>
        <v>27414.583333333332</v>
      </c>
      <c r="F138" s="79">
        <f t="shared" si="8"/>
        <v>41997.916666666664</v>
      </c>
      <c r="G138" s="79"/>
      <c r="H138" s="79">
        <f t="shared" si="9"/>
        <v>502.08333333333331</v>
      </c>
      <c r="I138" s="79">
        <f t="shared" si="10"/>
        <v>42500</v>
      </c>
      <c r="K138" s="80">
        <f t="shared" ref="K138:K201" si="11">+K137-B137</f>
        <v>6025000</v>
      </c>
    </row>
    <row r="139" spans="1:11" ht="15" x14ac:dyDescent="0.25">
      <c r="A139" s="77">
        <v>44256</v>
      </c>
      <c r="B139" s="78">
        <v>0</v>
      </c>
      <c r="C139" s="78">
        <v>0</v>
      </c>
      <c r="D139" s="78">
        <f>B143/12</f>
        <v>14583.333333333334</v>
      </c>
      <c r="E139" s="78">
        <f>C143/6</f>
        <v>27414.583333333332</v>
      </c>
      <c r="F139" s="79">
        <f t="shared" si="8"/>
        <v>41997.916666666664</v>
      </c>
      <c r="G139" s="79"/>
      <c r="H139" s="79">
        <f t="shared" si="9"/>
        <v>502.08333333333331</v>
      </c>
      <c r="I139" s="79">
        <f t="shared" si="10"/>
        <v>42500</v>
      </c>
      <c r="K139" s="80">
        <f t="shared" si="11"/>
        <v>6025000</v>
      </c>
    </row>
    <row r="140" spans="1:11" ht="15" x14ac:dyDescent="0.25">
      <c r="A140" s="77">
        <v>44287</v>
      </c>
      <c r="B140" s="78">
        <v>0</v>
      </c>
      <c r="C140" s="78">
        <v>0</v>
      </c>
      <c r="D140" s="78">
        <f>B143/12</f>
        <v>14583.333333333334</v>
      </c>
      <c r="E140" s="78">
        <f>C143/6</f>
        <v>27414.583333333332</v>
      </c>
      <c r="F140" s="79">
        <f t="shared" si="8"/>
        <v>41997.916666666664</v>
      </c>
      <c r="G140" s="79"/>
      <c r="H140" s="79">
        <f t="shared" si="9"/>
        <v>502.08333333333331</v>
      </c>
      <c r="I140" s="79">
        <f t="shared" si="10"/>
        <v>42500</v>
      </c>
      <c r="K140" s="80">
        <f t="shared" si="11"/>
        <v>6025000</v>
      </c>
    </row>
    <row r="141" spans="1:11" ht="15" x14ac:dyDescent="0.25">
      <c r="A141" s="77">
        <v>44317</v>
      </c>
      <c r="B141" s="78">
        <v>0</v>
      </c>
      <c r="C141" s="78">
        <v>0</v>
      </c>
      <c r="D141" s="78">
        <f>B143/12</f>
        <v>14583.333333333334</v>
      </c>
      <c r="E141" s="78">
        <f>C143/6</f>
        <v>27414.583333333332</v>
      </c>
      <c r="F141" s="79">
        <f t="shared" si="8"/>
        <v>41997.916666666664</v>
      </c>
      <c r="G141" s="79"/>
      <c r="H141" s="79">
        <f t="shared" si="9"/>
        <v>502.08333333333331</v>
      </c>
      <c r="I141" s="79">
        <f t="shared" si="10"/>
        <v>42500</v>
      </c>
      <c r="K141" s="80">
        <f t="shared" si="11"/>
        <v>6025000</v>
      </c>
    </row>
    <row r="142" spans="1:11" ht="15" x14ac:dyDescent="0.25">
      <c r="A142" s="77">
        <v>44348</v>
      </c>
      <c r="B142" s="78">
        <v>0</v>
      </c>
      <c r="C142" s="78">
        <v>0</v>
      </c>
      <c r="D142" s="78">
        <f>B143/12</f>
        <v>14583.333333333334</v>
      </c>
      <c r="E142" s="78">
        <f>C143/6</f>
        <v>27414.583333333332</v>
      </c>
      <c r="F142" s="79">
        <f t="shared" si="8"/>
        <v>41997.916666666664</v>
      </c>
      <c r="G142" s="79"/>
      <c r="H142" s="79">
        <f t="shared" si="9"/>
        <v>502.08333333333331</v>
      </c>
      <c r="I142" s="79">
        <f t="shared" si="10"/>
        <v>42500</v>
      </c>
      <c r="K142" s="80">
        <f t="shared" si="11"/>
        <v>6025000</v>
      </c>
    </row>
    <row r="143" spans="1:11" s="105" customFormat="1" ht="15" x14ac:dyDescent="0.25">
      <c r="A143" s="102">
        <v>44378</v>
      </c>
      <c r="B143" s="103">
        <v>175000</v>
      </c>
      <c r="C143" s="103">
        <v>164487.5</v>
      </c>
      <c r="D143" s="103">
        <f>B143/12</f>
        <v>14583.333333333334</v>
      </c>
      <c r="E143" s="103">
        <f>C143/6</f>
        <v>27414.583333333332</v>
      </c>
      <c r="F143" s="103">
        <f t="shared" si="8"/>
        <v>41997.916666666664</v>
      </c>
      <c r="G143" s="103"/>
      <c r="H143" s="103">
        <f t="shared" si="9"/>
        <v>487.5</v>
      </c>
      <c r="I143" s="103">
        <f t="shared" si="10"/>
        <v>42485.416666666664</v>
      </c>
      <c r="J143" s="103">
        <f>SUM(F132:F143)</f>
        <v>503975.00000000006</v>
      </c>
      <c r="K143" s="104">
        <f t="shared" si="11"/>
        <v>6025000</v>
      </c>
    </row>
    <row r="144" spans="1:11" s="105" customFormat="1" ht="15" x14ac:dyDescent="0.25">
      <c r="A144" s="102">
        <v>44409</v>
      </c>
      <c r="B144" s="103">
        <v>0</v>
      </c>
      <c r="C144" s="103">
        <v>0</v>
      </c>
      <c r="D144" s="103">
        <f>B155/12</f>
        <v>15416.666666666666</v>
      </c>
      <c r="E144" s="103">
        <f>C149/6</f>
        <v>26648.958333333332</v>
      </c>
      <c r="F144" s="103">
        <f t="shared" si="8"/>
        <v>42065.625</v>
      </c>
      <c r="G144" s="103"/>
      <c r="H144" s="103">
        <f t="shared" si="9"/>
        <v>487.5</v>
      </c>
      <c r="I144" s="103">
        <f t="shared" si="10"/>
        <v>42553.125</v>
      </c>
      <c r="K144" s="104">
        <f t="shared" si="11"/>
        <v>5850000</v>
      </c>
    </row>
    <row r="145" spans="1:11" s="105" customFormat="1" ht="15" x14ac:dyDescent="0.25">
      <c r="A145" s="102">
        <v>44440</v>
      </c>
      <c r="B145" s="103">
        <v>0</v>
      </c>
      <c r="C145" s="103">
        <v>0</v>
      </c>
      <c r="D145" s="103">
        <f>B155/12</f>
        <v>15416.666666666666</v>
      </c>
      <c r="E145" s="103">
        <f>C149/6</f>
        <v>26648.958333333332</v>
      </c>
      <c r="F145" s="103">
        <f t="shared" si="8"/>
        <v>42065.625</v>
      </c>
      <c r="G145" s="103"/>
      <c r="H145" s="103">
        <f t="shared" si="9"/>
        <v>487.5</v>
      </c>
      <c r="I145" s="103">
        <f t="shared" si="10"/>
        <v>42553.125</v>
      </c>
      <c r="K145" s="104">
        <f t="shared" si="11"/>
        <v>5850000</v>
      </c>
    </row>
    <row r="146" spans="1:11" s="105" customFormat="1" ht="15" x14ac:dyDescent="0.25">
      <c r="A146" s="102">
        <v>44470</v>
      </c>
      <c r="B146" s="103">
        <v>0</v>
      </c>
      <c r="C146" s="103">
        <v>0</v>
      </c>
      <c r="D146" s="103">
        <f>B155/12</f>
        <v>15416.666666666666</v>
      </c>
      <c r="E146" s="103">
        <f>C149/6</f>
        <v>26648.958333333332</v>
      </c>
      <c r="F146" s="103">
        <f t="shared" si="8"/>
        <v>42065.625</v>
      </c>
      <c r="G146" s="103"/>
      <c r="H146" s="103">
        <f t="shared" si="9"/>
        <v>487.5</v>
      </c>
      <c r="I146" s="103">
        <f t="shared" si="10"/>
        <v>42553.125</v>
      </c>
      <c r="K146" s="104">
        <f t="shared" si="11"/>
        <v>5850000</v>
      </c>
    </row>
    <row r="147" spans="1:11" s="105" customFormat="1" ht="15" x14ac:dyDescent="0.25">
      <c r="A147" s="102">
        <v>44501</v>
      </c>
      <c r="B147" s="103">
        <v>0</v>
      </c>
      <c r="C147" s="103">
        <v>0</v>
      </c>
      <c r="D147" s="103">
        <f>B155/12</f>
        <v>15416.666666666666</v>
      </c>
      <c r="E147" s="103">
        <f>C149/6</f>
        <v>26648.958333333332</v>
      </c>
      <c r="F147" s="103">
        <f t="shared" si="8"/>
        <v>42065.625</v>
      </c>
      <c r="G147" s="103"/>
      <c r="H147" s="103">
        <f t="shared" si="9"/>
        <v>487.5</v>
      </c>
      <c r="I147" s="103">
        <f t="shared" si="10"/>
        <v>42553.125</v>
      </c>
      <c r="K147" s="104">
        <f t="shared" si="11"/>
        <v>5850000</v>
      </c>
    </row>
    <row r="148" spans="1:11" s="105" customFormat="1" ht="15" x14ac:dyDescent="0.25">
      <c r="A148" s="102">
        <v>44531</v>
      </c>
      <c r="B148" s="103">
        <v>0</v>
      </c>
      <c r="C148" s="103">
        <v>0</v>
      </c>
      <c r="D148" s="103">
        <f>B155/12</f>
        <v>15416.666666666666</v>
      </c>
      <c r="E148" s="103">
        <f>C149/6</f>
        <v>26648.958333333332</v>
      </c>
      <c r="F148" s="103">
        <f t="shared" si="8"/>
        <v>42065.625</v>
      </c>
      <c r="G148" s="103"/>
      <c r="H148" s="103">
        <f t="shared" si="9"/>
        <v>487.5</v>
      </c>
      <c r="I148" s="103">
        <f t="shared" si="10"/>
        <v>42553.125</v>
      </c>
      <c r="K148" s="104">
        <f t="shared" si="11"/>
        <v>5850000</v>
      </c>
    </row>
    <row r="149" spans="1:11" s="105" customFormat="1" ht="15" x14ac:dyDescent="0.25">
      <c r="A149" s="102">
        <v>44562</v>
      </c>
      <c r="B149" s="103">
        <v>0</v>
      </c>
      <c r="C149" s="103">
        <v>159893.75</v>
      </c>
      <c r="D149" s="103">
        <f>B155/12</f>
        <v>15416.666666666666</v>
      </c>
      <c r="E149" s="103">
        <f>C149/6</f>
        <v>26648.958333333332</v>
      </c>
      <c r="F149" s="103">
        <f t="shared" si="8"/>
        <v>42065.625</v>
      </c>
      <c r="G149" s="103"/>
      <c r="H149" s="103">
        <f t="shared" si="9"/>
        <v>487.5</v>
      </c>
      <c r="I149" s="103">
        <f t="shared" si="10"/>
        <v>42553.125</v>
      </c>
      <c r="K149" s="104">
        <f t="shared" si="11"/>
        <v>5850000</v>
      </c>
    </row>
    <row r="150" spans="1:11" s="105" customFormat="1" ht="15" x14ac:dyDescent="0.25">
      <c r="A150" s="102">
        <v>44593</v>
      </c>
      <c r="B150" s="103">
        <v>0</v>
      </c>
      <c r="C150" s="103">
        <v>0</v>
      </c>
      <c r="D150" s="103">
        <f>B155/12</f>
        <v>15416.666666666666</v>
      </c>
      <c r="E150" s="103">
        <f>C155/6</f>
        <v>26648.958333333332</v>
      </c>
      <c r="F150" s="103">
        <f t="shared" si="8"/>
        <v>42065.625</v>
      </c>
      <c r="G150" s="103"/>
      <c r="H150" s="103">
        <f t="shared" si="9"/>
        <v>487.5</v>
      </c>
      <c r="I150" s="103">
        <f t="shared" si="10"/>
        <v>42553.125</v>
      </c>
      <c r="J150" s="106"/>
      <c r="K150" s="104">
        <f t="shared" si="11"/>
        <v>5850000</v>
      </c>
    </row>
    <row r="151" spans="1:11" s="105" customFormat="1" ht="15" x14ac:dyDescent="0.25">
      <c r="A151" s="102">
        <v>44621</v>
      </c>
      <c r="B151" s="103">
        <v>0</v>
      </c>
      <c r="C151" s="103">
        <v>0</v>
      </c>
      <c r="D151" s="103">
        <f>B155/12</f>
        <v>15416.666666666666</v>
      </c>
      <c r="E151" s="103">
        <f>C155/6</f>
        <v>26648.958333333332</v>
      </c>
      <c r="F151" s="103">
        <f t="shared" si="8"/>
        <v>42065.625</v>
      </c>
      <c r="G151" s="103"/>
      <c r="H151" s="103">
        <f t="shared" si="9"/>
        <v>487.5</v>
      </c>
      <c r="I151" s="103">
        <f t="shared" si="10"/>
        <v>42553.125</v>
      </c>
      <c r="K151" s="104">
        <f t="shared" si="11"/>
        <v>5850000</v>
      </c>
    </row>
    <row r="152" spans="1:11" s="105" customFormat="1" ht="15" x14ac:dyDescent="0.25">
      <c r="A152" s="102">
        <v>44652</v>
      </c>
      <c r="B152" s="103">
        <v>0</v>
      </c>
      <c r="C152" s="103">
        <v>0</v>
      </c>
      <c r="D152" s="103">
        <f>B155/12</f>
        <v>15416.666666666666</v>
      </c>
      <c r="E152" s="103">
        <f>C155/6</f>
        <v>26648.958333333332</v>
      </c>
      <c r="F152" s="103">
        <f t="shared" si="8"/>
        <v>42065.625</v>
      </c>
      <c r="G152" s="103"/>
      <c r="H152" s="103">
        <f t="shared" si="9"/>
        <v>487.5</v>
      </c>
      <c r="I152" s="103">
        <f t="shared" si="10"/>
        <v>42553.125</v>
      </c>
      <c r="K152" s="104">
        <f t="shared" si="11"/>
        <v>5850000</v>
      </c>
    </row>
    <row r="153" spans="1:11" s="105" customFormat="1" ht="15" x14ac:dyDescent="0.25">
      <c r="A153" s="102">
        <v>44682</v>
      </c>
      <c r="B153" s="103">
        <v>0</v>
      </c>
      <c r="C153" s="103">
        <v>0</v>
      </c>
      <c r="D153" s="103">
        <f>B155/12</f>
        <v>15416.666666666666</v>
      </c>
      <c r="E153" s="103">
        <f>C155/6</f>
        <v>26648.958333333332</v>
      </c>
      <c r="F153" s="103">
        <f t="shared" si="8"/>
        <v>42065.625</v>
      </c>
      <c r="G153" s="103"/>
      <c r="H153" s="103">
        <f t="shared" si="9"/>
        <v>487.5</v>
      </c>
      <c r="I153" s="103">
        <f t="shared" si="10"/>
        <v>42553.125</v>
      </c>
      <c r="K153" s="104">
        <f t="shared" si="11"/>
        <v>5850000</v>
      </c>
    </row>
    <row r="154" spans="1:11" s="105" customFormat="1" ht="15" x14ac:dyDescent="0.25">
      <c r="A154" s="102">
        <v>44713</v>
      </c>
      <c r="B154" s="103">
        <v>0</v>
      </c>
      <c r="C154" s="103">
        <v>0</v>
      </c>
      <c r="D154" s="103">
        <f>B155/12</f>
        <v>15416.666666666666</v>
      </c>
      <c r="E154" s="103">
        <f>C155/6</f>
        <v>26648.958333333332</v>
      </c>
      <c r="F154" s="103">
        <f t="shared" si="8"/>
        <v>42065.625</v>
      </c>
      <c r="G154" s="103"/>
      <c r="H154" s="103">
        <f t="shared" si="9"/>
        <v>487.5</v>
      </c>
      <c r="I154" s="103">
        <f t="shared" si="10"/>
        <v>42553.125</v>
      </c>
      <c r="K154" s="104">
        <f t="shared" si="11"/>
        <v>5850000</v>
      </c>
    </row>
    <row r="155" spans="1:11" s="85" customFormat="1" ht="15" x14ac:dyDescent="0.25">
      <c r="A155" s="82">
        <v>44743</v>
      </c>
      <c r="B155" s="83">
        <v>185000</v>
      </c>
      <c r="C155" s="83">
        <v>159893.75</v>
      </c>
      <c r="D155" s="83">
        <f>B155/12</f>
        <v>15416.666666666666</v>
      </c>
      <c r="E155" s="83">
        <f>C155/6</f>
        <v>26648.958333333332</v>
      </c>
      <c r="F155" s="83">
        <f t="shared" si="8"/>
        <v>42065.625</v>
      </c>
      <c r="G155" s="83"/>
      <c r="H155" s="83">
        <f t="shared" si="9"/>
        <v>472.08333333333331</v>
      </c>
      <c r="I155" s="83">
        <f t="shared" si="10"/>
        <v>42537.708333333336</v>
      </c>
      <c r="J155" s="83">
        <f>SUM(F144:F155)</f>
        <v>504787.5</v>
      </c>
      <c r="K155" s="84">
        <f t="shared" si="11"/>
        <v>5850000</v>
      </c>
    </row>
    <row r="156" spans="1:11" s="85" customFormat="1" ht="15" x14ac:dyDescent="0.25">
      <c r="A156" s="82">
        <v>44774</v>
      </c>
      <c r="B156" s="83">
        <v>0</v>
      </c>
      <c r="C156" s="83">
        <v>0</v>
      </c>
      <c r="D156" s="83">
        <f>B167/12</f>
        <v>16250</v>
      </c>
      <c r="E156" s="83">
        <f>C161/6</f>
        <v>25839.583333333332</v>
      </c>
      <c r="F156" s="83">
        <f t="shared" si="8"/>
        <v>42089.583333333328</v>
      </c>
      <c r="G156" s="83"/>
      <c r="H156" s="83">
        <f t="shared" si="9"/>
        <v>472.08333333333331</v>
      </c>
      <c r="I156" s="83">
        <f t="shared" si="10"/>
        <v>42561.666666666664</v>
      </c>
      <c r="K156" s="84">
        <f t="shared" si="11"/>
        <v>5665000</v>
      </c>
    </row>
    <row r="157" spans="1:11" s="85" customFormat="1" ht="15" x14ac:dyDescent="0.25">
      <c r="A157" s="82">
        <v>44805</v>
      </c>
      <c r="B157" s="83">
        <v>0</v>
      </c>
      <c r="C157" s="83">
        <v>0</v>
      </c>
      <c r="D157" s="83">
        <f>B167/12</f>
        <v>16250</v>
      </c>
      <c r="E157" s="83">
        <f>C161/6</f>
        <v>25839.583333333332</v>
      </c>
      <c r="F157" s="83">
        <f t="shared" si="8"/>
        <v>42089.583333333328</v>
      </c>
      <c r="G157" s="83"/>
      <c r="H157" s="83">
        <f t="shared" si="9"/>
        <v>472.08333333333331</v>
      </c>
      <c r="I157" s="83">
        <f t="shared" si="10"/>
        <v>42561.666666666664</v>
      </c>
      <c r="K157" s="84">
        <f t="shared" si="11"/>
        <v>5665000</v>
      </c>
    </row>
    <row r="158" spans="1:11" s="85" customFormat="1" ht="15" x14ac:dyDescent="0.25">
      <c r="A158" s="82">
        <v>44835</v>
      </c>
      <c r="B158" s="83">
        <v>0</v>
      </c>
      <c r="C158" s="83">
        <v>0</v>
      </c>
      <c r="D158" s="83">
        <f>B167/12</f>
        <v>16250</v>
      </c>
      <c r="E158" s="83">
        <f>C161/6</f>
        <v>25839.583333333332</v>
      </c>
      <c r="F158" s="83">
        <f t="shared" si="8"/>
        <v>42089.583333333328</v>
      </c>
      <c r="G158" s="83"/>
      <c r="H158" s="83">
        <f t="shared" si="9"/>
        <v>472.08333333333331</v>
      </c>
      <c r="I158" s="83">
        <f t="shared" si="10"/>
        <v>42561.666666666664</v>
      </c>
      <c r="K158" s="84">
        <f t="shared" si="11"/>
        <v>5665000</v>
      </c>
    </row>
    <row r="159" spans="1:11" s="85" customFormat="1" ht="15" x14ac:dyDescent="0.25">
      <c r="A159" s="82">
        <v>44866</v>
      </c>
      <c r="B159" s="83">
        <v>0</v>
      </c>
      <c r="C159" s="83">
        <v>0</v>
      </c>
      <c r="D159" s="83">
        <f>B167/12</f>
        <v>16250</v>
      </c>
      <c r="E159" s="83">
        <f>C161/6</f>
        <v>25839.583333333332</v>
      </c>
      <c r="F159" s="83">
        <f t="shared" si="8"/>
        <v>42089.583333333328</v>
      </c>
      <c r="G159" s="83"/>
      <c r="H159" s="83">
        <f t="shared" si="9"/>
        <v>472.08333333333331</v>
      </c>
      <c r="I159" s="83">
        <f t="shared" si="10"/>
        <v>42561.666666666664</v>
      </c>
      <c r="K159" s="84">
        <f t="shared" si="11"/>
        <v>5665000</v>
      </c>
    </row>
    <row r="160" spans="1:11" s="85" customFormat="1" ht="15" x14ac:dyDescent="0.25">
      <c r="A160" s="82">
        <v>44896</v>
      </c>
      <c r="B160" s="83">
        <v>0</v>
      </c>
      <c r="C160" s="83">
        <v>0</v>
      </c>
      <c r="D160" s="83">
        <f>B167/12</f>
        <v>16250</v>
      </c>
      <c r="E160" s="83">
        <f>C161/6</f>
        <v>25839.583333333332</v>
      </c>
      <c r="F160" s="83">
        <f t="shared" si="8"/>
        <v>42089.583333333328</v>
      </c>
      <c r="G160" s="83"/>
      <c r="H160" s="83">
        <f t="shared" si="9"/>
        <v>472.08333333333331</v>
      </c>
      <c r="I160" s="83">
        <f t="shared" si="10"/>
        <v>42561.666666666664</v>
      </c>
      <c r="K160" s="84">
        <f t="shared" si="11"/>
        <v>5665000</v>
      </c>
    </row>
    <row r="161" spans="1:11" s="85" customFormat="1" ht="15" x14ac:dyDescent="0.25">
      <c r="A161" s="82">
        <v>44927</v>
      </c>
      <c r="B161" s="83">
        <v>0</v>
      </c>
      <c r="C161" s="83">
        <v>155037.5</v>
      </c>
      <c r="D161" s="83">
        <f>B167/12</f>
        <v>16250</v>
      </c>
      <c r="E161" s="83">
        <f>C161/6</f>
        <v>25839.583333333332</v>
      </c>
      <c r="F161" s="83">
        <f>D161+E161</f>
        <v>42089.583333333328</v>
      </c>
      <c r="G161" s="83"/>
      <c r="H161" s="83">
        <f t="shared" si="9"/>
        <v>472.08333333333331</v>
      </c>
      <c r="I161" s="83">
        <f t="shared" si="10"/>
        <v>42561.666666666664</v>
      </c>
      <c r="K161" s="84">
        <f t="shared" si="11"/>
        <v>5665000</v>
      </c>
    </row>
    <row r="162" spans="1:11" s="85" customFormat="1" ht="15" x14ac:dyDescent="0.25">
      <c r="A162" s="82">
        <v>44958</v>
      </c>
      <c r="B162" s="83">
        <v>0</v>
      </c>
      <c r="C162" s="83">
        <v>0</v>
      </c>
      <c r="D162" s="83">
        <f>B167/12</f>
        <v>16250</v>
      </c>
      <c r="E162" s="83">
        <f>C167/6</f>
        <v>25839.583333333332</v>
      </c>
      <c r="F162" s="83">
        <f t="shared" si="8"/>
        <v>42089.583333333328</v>
      </c>
      <c r="G162" s="83"/>
      <c r="H162" s="83">
        <f t="shared" si="9"/>
        <v>472.08333333333331</v>
      </c>
      <c r="I162" s="83">
        <f t="shared" si="10"/>
        <v>42561.666666666664</v>
      </c>
      <c r="K162" s="84">
        <f t="shared" si="11"/>
        <v>5665000</v>
      </c>
    </row>
    <row r="163" spans="1:11" s="85" customFormat="1" ht="15" x14ac:dyDescent="0.25">
      <c r="A163" s="82">
        <v>44986</v>
      </c>
      <c r="B163" s="83">
        <v>0</v>
      </c>
      <c r="C163" s="83">
        <v>0</v>
      </c>
      <c r="D163" s="83">
        <f>B167/12</f>
        <v>16250</v>
      </c>
      <c r="E163" s="83">
        <f>C167/6</f>
        <v>25839.583333333332</v>
      </c>
      <c r="F163" s="83">
        <f t="shared" si="8"/>
        <v>42089.583333333328</v>
      </c>
      <c r="G163" s="83"/>
      <c r="H163" s="83">
        <f t="shared" si="9"/>
        <v>472.08333333333331</v>
      </c>
      <c r="I163" s="83">
        <f t="shared" si="10"/>
        <v>42561.666666666664</v>
      </c>
      <c r="K163" s="84">
        <f t="shared" si="11"/>
        <v>5665000</v>
      </c>
    </row>
    <row r="164" spans="1:11" s="85" customFormat="1" ht="15" x14ac:dyDescent="0.25">
      <c r="A164" s="82">
        <v>45017</v>
      </c>
      <c r="B164" s="83">
        <v>0</v>
      </c>
      <c r="C164" s="83">
        <v>0</v>
      </c>
      <c r="D164" s="83">
        <f>B167/12</f>
        <v>16250</v>
      </c>
      <c r="E164" s="83">
        <f>C167/6</f>
        <v>25839.583333333332</v>
      </c>
      <c r="F164" s="83">
        <f t="shared" si="8"/>
        <v>42089.583333333328</v>
      </c>
      <c r="G164" s="83"/>
      <c r="H164" s="83">
        <f t="shared" si="9"/>
        <v>472.08333333333331</v>
      </c>
      <c r="I164" s="83">
        <f t="shared" si="10"/>
        <v>42561.666666666664</v>
      </c>
      <c r="K164" s="84">
        <f t="shared" si="11"/>
        <v>5665000</v>
      </c>
    </row>
    <row r="165" spans="1:11" s="85" customFormat="1" ht="15" x14ac:dyDescent="0.25">
      <c r="A165" s="82">
        <v>45047</v>
      </c>
      <c r="B165" s="83">
        <v>0</v>
      </c>
      <c r="C165" s="83">
        <v>0</v>
      </c>
      <c r="D165" s="83">
        <f>B167/12</f>
        <v>16250</v>
      </c>
      <c r="E165" s="83">
        <f>C167/6</f>
        <v>25839.583333333332</v>
      </c>
      <c r="F165" s="83">
        <f t="shared" si="8"/>
        <v>42089.583333333328</v>
      </c>
      <c r="G165" s="83"/>
      <c r="H165" s="83">
        <f t="shared" si="9"/>
        <v>472.08333333333331</v>
      </c>
      <c r="I165" s="83">
        <f t="shared" si="10"/>
        <v>42561.666666666664</v>
      </c>
      <c r="K165" s="84">
        <f t="shared" si="11"/>
        <v>5665000</v>
      </c>
    </row>
    <row r="166" spans="1:11" s="85" customFormat="1" ht="15" x14ac:dyDescent="0.25">
      <c r="A166" s="82">
        <v>45078</v>
      </c>
      <c r="B166" s="83">
        <v>0</v>
      </c>
      <c r="C166" s="83">
        <v>0</v>
      </c>
      <c r="D166" s="83">
        <f>B167/12</f>
        <v>16250</v>
      </c>
      <c r="E166" s="83">
        <f>C167/6</f>
        <v>25839.583333333332</v>
      </c>
      <c r="F166" s="83">
        <f t="shared" si="8"/>
        <v>42089.583333333328</v>
      </c>
      <c r="G166" s="83"/>
      <c r="H166" s="83">
        <f t="shared" si="9"/>
        <v>472.08333333333331</v>
      </c>
      <c r="I166" s="83">
        <f t="shared" si="10"/>
        <v>42561.666666666664</v>
      </c>
      <c r="K166" s="84">
        <f t="shared" si="11"/>
        <v>5665000</v>
      </c>
    </row>
    <row r="167" spans="1:11" ht="15" x14ac:dyDescent="0.25">
      <c r="A167" s="77">
        <v>45108</v>
      </c>
      <c r="B167" s="78">
        <v>195000</v>
      </c>
      <c r="C167" s="78">
        <v>155037.5</v>
      </c>
      <c r="D167" s="78">
        <f>B167/12</f>
        <v>16250</v>
      </c>
      <c r="E167" s="78">
        <f>C167/6</f>
        <v>25839.583333333332</v>
      </c>
      <c r="F167" s="79">
        <f t="shared" si="8"/>
        <v>42089.583333333328</v>
      </c>
      <c r="G167" s="79"/>
      <c r="H167" s="79">
        <f t="shared" si="9"/>
        <v>455.83333333333331</v>
      </c>
      <c r="I167" s="79">
        <f t="shared" si="10"/>
        <v>42545.416666666664</v>
      </c>
      <c r="J167" s="78">
        <f>SUM(F156:F167)</f>
        <v>505074.99999999983</v>
      </c>
      <c r="K167" s="80">
        <f t="shared" si="11"/>
        <v>5665000</v>
      </c>
    </row>
    <row r="168" spans="1:11" ht="15" x14ac:dyDescent="0.25">
      <c r="A168" s="77">
        <v>45139</v>
      </c>
      <c r="B168" s="78">
        <v>0</v>
      </c>
      <c r="C168" s="78">
        <v>0</v>
      </c>
      <c r="D168" s="78">
        <f>B179/12</f>
        <v>17083.333333333332</v>
      </c>
      <c r="E168" s="78">
        <f>C173/6</f>
        <v>24986.458333333332</v>
      </c>
      <c r="F168" s="79">
        <f t="shared" si="8"/>
        <v>42069.791666666664</v>
      </c>
      <c r="G168" s="79"/>
      <c r="H168" s="79">
        <f t="shared" si="9"/>
        <v>455.83333333333331</v>
      </c>
      <c r="I168" s="79">
        <f t="shared" si="10"/>
        <v>42525.625</v>
      </c>
      <c r="K168" s="80">
        <f t="shared" si="11"/>
        <v>5470000</v>
      </c>
    </row>
    <row r="169" spans="1:11" ht="15" x14ac:dyDescent="0.25">
      <c r="A169" s="77">
        <v>45170</v>
      </c>
      <c r="B169" s="78">
        <v>0</v>
      </c>
      <c r="C169" s="78">
        <v>0</v>
      </c>
      <c r="D169" s="78">
        <f>B179/12</f>
        <v>17083.333333333332</v>
      </c>
      <c r="E169" s="78">
        <f>C173/6</f>
        <v>24986.458333333332</v>
      </c>
      <c r="F169" s="79">
        <f t="shared" si="8"/>
        <v>42069.791666666664</v>
      </c>
      <c r="G169" s="79"/>
      <c r="H169" s="79">
        <f t="shared" si="9"/>
        <v>455.83333333333331</v>
      </c>
      <c r="I169" s="79">
        <f t="shared" si="10"/>
        <v>42525.625</v>
      </c>
      <c r="K169" s="80">
        <f t="shared" si="11"/>
        <v>5470000</v>
      </c>
    </row>
    <row r="170" spans="1:11" ht="15" x14ac:dyDescent="0.25">
      <c r="A170" s="77">
        <v>45200</v>
      </c>
      <c r="B170" s="78">
        <v>0</v>
      </c>
      <c r="C170" s="78">
        <v>0</v>
      </c>
      <c r="D170" s="78">
        <f>B179/12</f>
        <v>17083.333333333332</v>
      </c>
      <c r="E170" s="78">
        <f>C173/6</f>
        <v>24986.458333333332</v>
      </c>
      <c r="F170" s="79">
        <f t="shared" si="8"/>
        <v>42069.791666666664</v>
      </c>
      <c r="G170" s="79"/>
      <c r="H170" s="79">
        <f t="shared" si="9"/>
        <v>455.83333333333331</v>
      </c>
      <c r="I170" s="79">
        <f t="shared" si="10"/>
        <v>42525.625</v>
      </c>
      <c r="K170" s="80">
        <f t="shared" si="11"/>
        <v>5470000</v>
      </c>
    </row>
    <row r="171" spans="1:11" ht="15" x14ac:dyDescent="0.25">
      <c r="A171" s="77">
        <v>45231</v>
      </c>
      <c r="B171" s="78">
        <v>0</v>
      </c>
      <c r="C171" s="78">
        <v>0</v>
      </c>
      <c r="D171" s="78">
        <f>B179/12</f>
        <v>17083.333333333332</v>
      </c>
      <c r="E171" s="78">
        <f>C173/6</f>
        <v>24986.458333333332</v>
      </c>
      <c r="F171" s="79">
        <f t="shared" si="8"/>
        <v>42069.791666666664</v>
      </c>
      <c r="G171" s="79"/>
      <c r="H171" s="79">
        <f t="shared" si="9"/>
        <v>455.83333333333331</v>
      </c>
      <c r="I171" s="79">
        <f t="shared" si="10"/>
        <v>42525.625</v>
      </c>
      <c r="K171" s="80">
        <f t="shared" si="11"/>
        <v>5470000</v>
      </c>
    </row>
    <row r="172" spans="1:11" ht="15" x14ac:dyDescent="0.25">
      <c r="A172" s="77">
        <v>45261</v>
      </c>
      <c r="B172" s="78">
        <v>0</v>
      </c>
      <c r="C172" s="78">
        <v>0</v>
      </c>
      <c r="D172" s="78">
        <f>B179/12</f>
        <v>17083.333333333332</v>
      </c>
      <c r="E172" s="78">
        <f>C173/6</f>
        <v>24986.458333333332</v>
      </c>
      <c r="F172" s="79">
        <f t="shared" si="8"/>
        <v>42069.791666666664</v>
      </c>
      <c r="G172" s="79"/>
      <c r="H172" s="79">
        <f t="shared" si="9"/>
        <v>455.83333333333331</v>
      </c>
      <c r="I172" s="79">
        <f t="shared" si="10"/>
        <v>42525.625</v>
      </c>
      <c r="K172" s="80">
        <f t="shared" si="11"/>
        <v>5470000</v>
      </c>
    </row>
    <row r="173" spans="1:11" ht="15" x14ac:dyDescent="0.25">
      <c r="A173" s="77">
        <v>45292</v>
      </c>
      <c r="B173" s="78">
        <v>0</v>
      </c>
      <c r="C173" s="78">
        <v>149918.75</v>
      </c>
      <c r="D173" s="78">
        <f>B179/12</f>
        <v>17083.333333333332</v>
      </c>
      <c r="E173" s="78">
        <f>C173/6</f>
        <v>24986.458333333332</v>
      </c>
      <c r="F173" s="79">
        <f t="shared" si="8"/>
        <v>42069.791666666664</v>
      </c>
      <c r="G173" s="79"/>
      <c r="H173" s="79">
        <f t="shared" si="9"/>
        <v>455.83333333333331</v>
      </c>
      <c r="I173" s="79">
        <f t="shared" si="10"/>
        <v>42525.625</v>
      </c>
      <c r="K173" s="80">
        <f t="shared" si="11"/>
        <v>5470000</v>
      </c>
    </row>
    <row r="174" spans="1:11" ht="15" x14ac:dyDescent="0.25">
      <c r="A174" s="77">
        <v>45323</v>
      </c>
      <c r="B174" s="78">
        <v>0</v>
      </c>
      <c r="C174" s="78">
        <v>0</v>
      </c>
      <c r="D174" s="78">
        <f>B179/12</f>
        <v>17083.333333333332</v>
      </c>
      <c r="E174" s="78">
        <f>C179/6</f>
        <v>24986.458333333332</v>
      </c>
      <c r="F174" s="79">
        <f t="shared" si="8"/>
        <v>42069.791666666664</v>
      </c>
      <c r="G174" s="79"/>
      <c r="H174" s="79">
        <f t="shared" si="9"/>
        <v>455.83333333333331</v>
      </c>
      <c r="I174" s="79">
        <f t="shared" si="10"/>
        <v>42525.625</v>
      </c>
      <c r="J174" s="81"/>
      <c r="K174" s="80">
        <f t="shared" si="11"/>
        <v>5470000</v>
      </c>
    </row>
    <row r="175" spans="1:11" ht="15" x14ac:dyDescent="0.25">
      <c r="A175" s="77">
        <v>45352</v>
      </c>
      <c r="B175" s="78">
        <v>0</v>
      </c>
      <c r="C175" s="78">
        <v>0</v>
      </c>
      <c r="D175" s="78">
        <f>B179/12</f>
        <v>17083.333333333332</v>
      </c>
      <c r="E175" s="78">
        <f>C179/6</f>
        <v>24986.458333333332</v>
      </c>
      <c r="F175" s="79">
        <f t="shared" si="8"/>
        <v>42069.791666666664</v>
      </c>
      <c r="G175" s="79"/>
      <c r="H175" s="79">
        <f t="shared" si="9"/>
        <v>455.83333333333331</v>
      </c>
      <c r="I175" s="79">
        <f t="shared" si="10"/>
        <v>42525.625</v>
      </c>
      <c r="K175" s="80">
        <f t="shared" si="11"/>
        <v>5470000</v>
      </c>
    </row>
    <row r="176" spans="1:11" ht="15" x14ac:dyDescent="0.25">
      <c r="A176" s="77">
        <v>45383</v>
      </c>
      <c r="B176" s="78">
        <v>0</v>
      </c>
      <c r="C176" s="78">
        <v>0</v>
      </c>
      <c r="D176" s="78">
        <f>B179/12</f>
        <v>17083.333333333332</v>
      </c>
      <c r="E176" s="78">
        <f>C179/6</f>
        <v>24986.458333333332</v>
      </c>
      <c r="F176" s="79">
        <f t="shared" si="8"/>
        <v>42069.791666666664</v>
      </c>
      <c r="G176" s="79"/>
      <c r="H176" s="79">
        <f t="shared" si="9"/>
        <v>455.83333333333331</v>
      </c>
      <c r="I176" s="79">
        <f t="shared" si="10"/>
        <v>42525.625</v>
      </c>
      <c r="K176" s="80">
        <f t="shared" si="11"/>
        <v>5470000</v>
      </c>
    </row>
    <row r="177" spans="1:11" ht="15" x14ac:dyDescent="0.25">
      <c r="A177" s="77">
        <v>45413</v>
      </c>
      <c r="B177" s="78">
        <v>0</v>
      </c>
      <c r="C177" s="78">
        <v>0</v>
      </c>
      <c r="D177" s="78">
        <f>B179/12</f>
        <v>17083.333333333332</v>
      </c>
      <c r="E177" s="78">
        <f>C179/6</f>
        <v>24986.458333333332</v>
      </c>
      <c r="F177" s="79">
        <f t="shared" si="8"/>
        <v>42069.791666666664</v>
      </c>
      <c r="G177" s="79"/>
      <c r="H177" s="79">
        <f t="shared" si="9"/>
        <v>455.83333333333331</v>
      </c>
      <c r="I177" s="79">
        <f t="shared" si="10"/>
        <v>42525.625</v>
      </c>
      <c r="K177" s="80">
        <f t="shared" si="11"/>
        <v>5470000</v>
      </c>
    </row>
    <row r="178" spans="1:11" ht="15" x14ac:dyDescent="0.25">
      <c r="A178" s="77">
        <v>45444</v>
      </c>
      <c r="B178" s="78">
        <v>0</v>
      </c>
      <c r="C178" s="78">
        <v>0</v>
      </c>
      <c r="D178" s="78">
        <f>B179/12</f>
        <v>17083.333333333332</v>
      </c>
      <c r="E178" s="78">
        <f>C179/6</f>
        <v>24986.458333333332</v>
      </c>
      <c r="F178" s="79">
        <f t="shared" si="8"/>
        <v>42069.791666666664</v>
      </c>
      <c r="G178" s="79"/>
      <c r="H178" s="79">
        <f t="shared" si="9"/>
        <v>455.83333333333331</v>
      </c>
      <c r="I178" s="79">
        <f t="shared" si="10"/>
        <v>42525.625</v>
      </c>
      <c r="K178" s="80">
        <f t="shared" si="11"/>
        <v>5470000</v>
      </c>
    </row>
    <row r="179" spans="1:11" ht="15" x14ac:dyDescent="0.25">
      <c r="A179" s="77">
        <v>45474</v>
      </c>
      <c r="B179" s="78">
        <v>205000</v>
      </c>
      <c r="C179" s="78">
        <v>149918.75</v>
      </c>
      <c r="D179" s="78">
        <f>B179/12</f>
        <v>17083.333333333332</v>
      </c>
      <c r="E179" s="78">
        <f>C179/6</f>
        <v>24986.458333333332</v>
      </c>
      <c r="F179" s="79">
        <f t="shared" si="8"/>
        <v>42069.791666666664</v>
      </c>
      <c r="G179" s="79"/>
      <c r="H179" s="79">
        <f t="shared" si="9"/>
        <v>438.75</v>
      </c>
      <c r="I179" s="79">
        <f t="shared" si="10"/>
        <v>42508.541666666664</v>
      </c>
      <c r="J179" s="78">
        <f>SUM(F168:F179)</f>
        <v>504837.50000000006</v>
      </c>
      <c r="K179" s="80">
        <f t="shared" si="11"/>
        <v>5470000</v>
      </c>
    </row>
    <row r="180" spans="1:11" ht="15" x14ac:dyDescent="0.25">
      <c r="A180" s="77">
        <v>45505</v>
      </c>
      <c r="B180" s="78">
        <v>0</v>
      </c>
      <c r="C180" s="78">
        <v>0</v>
      </c>
      <c r="D180" s="78">
        <f>B191/12</f>
        <v>17916.666666666668</v>
      </c>
      <c r="E180" s="78">
        <f>C185/6</f>
        <v>24089.583333333332</v>
      </c>
      <c r="F180" s="79">
        <f t="shared" si="8"/>
        <v>42006.25</v>
      </c>
      <c r="G180" s="79"/>
      <c r="H180" s="79">
        <f t="shared" si="9"/>
        <v>438.75</v>
      </c>
      <c r="I180" s="79">
        <f t="shared" si="10"/>
        <v>42445</v>
      </c>
      <c r="K180" s="80">
        <f t="shared" si="11"/>
        <v>5265000</v>
      </c>
    </row>
    <row r="181" spans="1:11" ht="15" x14ac:dyDescent="0.25">
      <c r="A181" s="77">
        <v>45536</v>
      </c>
      <c r="B181" s="78">
        <v>0</v>
      </c>
      <c r="C181" s="78">
        <v>0</v>
      </c>
      <c r="D181" s="78">
        <f>B191/12</f>
        <v>17916.666666666668</v>
      </c>
      <c r="E181" s="78">
        <f>C185/6</f>
        <v>24089.583333333332</v>
      </c>
      <c r="F181" s="79">
        <f t="shared" si="8"/>
        <v>42006.25</v>
      </c>
      <c r="G181" s="79"/>
      <c r="H181" s="79">
        <f t="shared" si="9"/>
        <v>438.75</v>
      </c>
      <c r="I181" s="79">
        <f t="shared" si="10"/>
        <v>42445</v>
      </c>
      <c r="K181" s="80">
        <f t="shared" si="11"/>
        <v>5265000</v>
      </c>
    </row>
    <row r="182" spans="1:11" ht="15" x14ac:dyDescent="0.25">
      <c r="A182" s="77">
        <v>45566</v>
      </c>
      <c r="B182" s="78">
        <v>0</v>
      </c>
      <c r="C182" s="78">
        <v>0</v>
      </c>
      <c r="D182" s="78">
        <f>B191/12</f>
        <v>17916.666666666668</v>
      </c>
      <c r="E182" s="78">
        <f>C185/6</f>
        <v>24089.583333333332</v>
      </c>
      <c r="F182" s="79">
        <f t="shared" si="8"/>
        <v>42006.25</v>
      </c>
      <c r="G182" s="79"/>
      <c r="H182" s="79">
        <f t="shared" si="9"/>
        <v>438.75</v>
      </c>
      <c r="I182" s="79">
        <f t="shared" si="10"/>
        <v>42445</v>
      </c>
      <c r="K182" s="80">
        <f t="shared" si="11"/>
        <v>5265000</v>
      </c>
    </row>
    <row r="183" spans="1:11" ht="15" x14ac:dyDescent="0.25">
      <c r="A183" s="77">
        <v>45597</v>
      </c>
      <c r="B183" s="78">
        <v>0</v>
      </c>
      <c r="C183" s="78">
        <v>0</v>
      </c>
      <c r="D183" s="78">
        <f>B191/12</f>
        <v>17916.666666666668</v>
      </c>
      <c r="E183" s="78">
        <f>C185/6</f>
        <v>24089.583333333332</v>
      </c>
      <c r="F183" s="79">
        <f t="shared" si="8"/>
        <v>42006.25</v>
      </c>
      <c r="G183" s="79"/>
      <c r="H183" s="79">
        <f t="shared" si="9"/>
        <v>438.75</v>
      </c>
      <c r="I183" s="79">
        <f t="shared" si="10"/>
        <v>42445</v>
      </c>
      <c r="K183" s="80">
        <f t="shared" si="11"/>
        <v>5265000</v>
      </c>
    </row>
    <row r="184" spans="1:11" ht="15" x14ac:dyDescent="0.25">
      <c r="A184" s="77">
        <v>45627</v>
      </c>
      <c r="B184" s="78">
        <v>0</v>
      </c>
      <c r="C184" s="78">
        <v>0</v>
      </c>
      <c r="D184" s="78">
        <f>B191/12</f>
        <v>17916.666666666668</v>
      </c>
      <c r="E184" s="78">
        <f>C185/6</f>
        <v>24089.583333333332</v>
      </c>
      <c r="F184" s="79">
        <f t="shared" si="8"/>
        <v>42006.25</v>
      </c>
      <c r="G184" s="79"/>
      <c r="H184" s="79">
        <f t="shared" si="9"/>
        <v>438.75</v>
      </c>
      <c r="I184" s="79">
        <f t="shared" si="10"/>
        <v>42445</v>
      </c>
      <c r="K184" s="80">
        <f t="shared" si="11"/>
        <v>5265000</v>
      </c>
    </row>
    <row r="185" spans="1:11" ht="15" x14ac:dyDescent="0.25">
      <c r="A185" s="77">
        <v>45658</v>
      </c>
      <c r="B185" s="78">
        <v>0</v>
      </c>
      <c r="C185" s="78">
        <v>144537.5</v>
      </c>
      <c r="D185" s="78">
        <f>B191/12</f>
        <v>17916.666666666668</v>
      </c>
      <c r="E185" s="78">
        <f>C185/6</f>
        <v>24089.583333333332</v>
      </c>
      <c r="F185" s="79">
        <f t="shared" si="8"/>
        <v>42006.25</v>
      </c>
      <c r="G185" s="79"/>
      <c r="H185" s="79">
        <f t="shared" si="9"/>
        <v>438.75</v>
      </c>
      <c r="I185" s="79">
        <f t="shared" si="10"/>
        <v>42445</v>
      </c>
      <c r="K185" s="80">
        <f t="shared" si="11"/>
        <v>5265000</v>
      </c>
    </row>
    <row r="186" spans="1:11" ht="15" x14ac:dyDescent="0.25">
      <c r="A186" s="77">
        <v>45689</v>
      </c>
      <c r="B186" s="78">
        <v>0</v>
      </c>
      <c r="C186" s="78">
        <v>0</v>
      </c>
      <c r="D186" s="78">
        <f>B191/12</f>
        <v>17916.666666666668</v>
      </c>
      <c r="E186" s="78">
        <f>C191/6</f>
        <v>24089.583333333332</v>
      </c>
      <c r="F186" s="79">
        <f t="shared" si="8"/>
        <v>42006.25</v>
      </c>
      <c r="G186" s="79"/>
      <c r="H186" s="79">
        <f t="shared" si="9"/>
        <v>438.75</v>
      </c>
      <c r="I186" s="79">
        <f t="shared" si="10"/>
        <v>42445</v>
      </c>
      <c r="K186" s="80">
        <f t="shared" si="11"/>
        <v>5265000</v>
      </c>
    </row>
    <row r="187" spans="1:11" ht="15" x14ac:dyDescent="0.25">
      <c r="A187" s="77">
        <v>45717</v>
      </c>
      <c r="B187" s="78">
        <v>0</v>
      </c>
      <c r="C187" s="78">
        <v>0</v>
      </c>
      <c r="D187" s="78">
        <f>B191/12</f>
        <v>17916.666666666668</v>
      </c>
      <c r="E187" s="78">
        <f>C191/6</f>
        <v>24089.583333333332</v>
      </c>
      <c r="F187" s="79">
        <f t="shared" si="8"/>
        <v>42006.25</v>
      </c>
      <c r="G187" s="79"/>
      <c r="H187" s="79">
        <f t="shared" si="9"/>
        <v>438.75</v>
      </c>
      <c r="I187" s="79">
        <f t="shared" si="10"/>
        <v>42445</v>
      </c>
      <c r="K187" s="80">
        <f t="shared" si="11"/>
        <v>5265000</v>
      </c>
    </row>
    <row r="188" spans="1:11" ht="15" x14ac:dyDescent="0.25">
      <c r="A188" s="77">
        <v>45748</v>
      </c>
      <c r="B188" s="78">
        <v>0</v>
      </c>
      <c r="C188" s="78">
        <v>0</v>
      </c>
      <c r="D188" s="78">
        <f>B191/12</f>
        <v>17916.666666666668</v>
      </c>
      <c r="E188" s="78">
        <f>C191/6</f>
        <v>24089.583333333332</v>
      </c>
      <c r="F188" s="79">
        <f t="shared" si="8"/>
        <v>42006.25</v>
      </c>
      <c r="G188" s="79"/>
      <c r="H188" s="79">
        <f t="shared" si="9"/>
        <v>438.75</v>
      </c>
      <c r="I188" s="79">
        <f t="shared" si="10"/>
        <v>42445</v>
      </c>
      <c r="K188" s="80">
        <f t="shared" si="11"/>
        <v>5265000</v>
      </c>
    </row>
    <row r="189" spans="1:11" ht="15" x14ac:dyDescent="0.25">
      <c r="A189" s="77">
        <v>45778</v>
      </c>
      <c r="B189" s="78">
        <v>0</v>
      </c>
      <c r="C189" s="78">
        <v>0</v>
      </c>
      <c r="D189" s="78">
        <f>B191/12</f>
        <v>17916.666666666668</v>
      </c>
      <c r="E189" s="78">
        <f>C191/6</f>
        <v>24089.583333333332</v>
      </c>
      <c r="F189" s="79">
        <f t="shared" si="8"/>
        <v>42006.25</v>
      </c>
      <c r="G189" s="79"/>
      <c r="H189" s="79">
        <f t="shared" si="9"/>
        <v>438.75</v>
      </c>
      <c r="I189" s="79">
        <f t="shared" si="10"/>
        <v>42445</v>
      </c>
      <c r="K189" s="80">
        <f t="shared" si="11"/>
        <v>5265000</v>
      </c>
    </row>
    <row r="190" spans="1:11" ht="15" x14ac:dyDescent="0.25">
      <c r="A190" s="77">
        <v>45809</v>
      </c>
      <c r="B190" s="78">
        <v>0</v>
      </c>
      <c r="C190" s="78">
        <v>0</v>
      </c>
      <c r="D190" s="78">
        <f>B191/12</f>
        <v>17916.666666666668</v>
      </c>
      <c r="E190" s="78">
        <f>C191/6</f>
        <v>24089.583333333332</v>
      </c>
      <c r="F190" s="79">
        <f t="shared" si="8"/>
        <v>42006.25</v>
      </c>
      <c r="G190" s="79"/>
      <c r="H190" s="79">
        <f t="shared" si="9"/>
        <v>438.75</v>
      </c>
      <c r="I190" s="79">
        <f t="shared" si="10"/>
        <v>42445</v>
      </c>
      <c r="K190" s="80">
        <f t="shared" si="11"/>
        <v>5265000</v>
      </c>
    </row>
    <row r="191" spans="1:11" ht="15" x14ac:dyDescent="0.25">
      <c r="A191" s="77">
        <v>45839</v>
      </c>
      <c r="B191" s="78">
        <v>215000</v>
      </c>
      <c r="C191" s="78">
        <v>144537.5</v>
      </c>
      <c r="D191" s="78">
        <f>B191/12</f>
        <v>17916.666666666668</v>
      </c>
      <c r="E191" s="78">
        <f>C191/6</f>
        <v>24089.583333333332</v>
      </c>
      <c r="F191" s="79">
        <f t="shared" si="8"/>
        <v>42006.25</v>
      </c>
      <c r="G191" s="79"/>
      <c r="H191" s="79">
        <f t="shared" si="9"/>
        <v>420.83333333333331</v>
      </c>
      <c r="I191" s="79">
        <f t="shared" si="10"/>
        <v>42427.083333333336</v>
      </c>
      <c r="J191" s="78">
        <f>SUM(F180:F191)</f>
        <v>504075</v>
      </c>
      <c r="K191" s="80">
        <f t="shared" si="11"/>
        <v>5265000</v>
      </c>
    </row>
    <row r="192" spans="1:11" ht="15" x14ac:dyDescent="0.25">
      <c r="A192" s="77">
        <v>45870</v>
      </c>
      <c r="B192" s="78">
        <v>0</v>
      </c>
      <c r="C192" s="78">
        <v>0</v>
      </c>
      <c r="D192" s="78">
        <f>B203/12</f>
        <v>18750</v>
      </c>
      <c r="E192" s="78">
        <f>C197/6</f>
        <v>23148.958333333332</v>
      </c>
      <c r="F192" s="79">
        <f t="shared" si="8"/>
        <v>41898.958333333328</v>
      </c>
      <c r="G192" s="79"/>
      <c r="H192" s="79">
        <f t="shared" si="9"/>
        <v>420.83333333333331</v>
      </c>
      <c r="I192" s="79">
        <f t="shared" si="10"/>
        <v>42319.791666666664</v>
      </c>
      <c r="K192" s="80">
        <f t="shared" si="11"/>
        <v>5050000</v>
      </c>
    </row>
    <row r="193" spans="1:11" ht="15" x14ac:dyDescent="0.25">
      <c r="A193" s="77">
        <v>45901</v>
      </c>
      <c r="B193" s="78">
        <v>0</v>
      </c>
      <c r="C193" s="78">
        <v>0</v>
      </c>
      <c r="D193" s="78">
        <f>B203/12</f>
        <v>18750</v>
      </c>
      <c r="E193" s="78">
        <f>C197/6</f>
        <v>23148.958333333332</v>
      </c>
      <c r="F193" s="79">
        <f t="shared" si="8"/>
        <v>41898.958333333328</v>
      </c>
      <c r="G193" s="79"/>
      <c r="H193" s="79">
        <f t="shared" si="9"/>
        <v>420.83333333333331</v>
      </c>
      <c r="I193" s="79">
        <f t="shared" si="10"/>
        <v>42319.791666666664</v>
      </c>
      <c r="K193" s="80">
        <f t="shared" si="11"/>
        <v>5050000</v>
      </c>
    </row>
    <row r="194" spans="1:11" ht="15" x14ac:dyDescent="0.25">
      <c r="A194" s="77">
        <v>45931</v>
      </c>
      <c r="B194" s="78">
        <v>0</v>
      </c>
      <c r="C194" s="78">
        <v>0</v>
      </c>
      <c r="D194" s="78">
        <f>B203/12</f>
        <v>18750</v>
      </c>
      <c r="E194" s="78">
        <f>C197/6</f>
        <v>23148.958333333332</v>
      </c>
      <c r="F194" s="79">
        <f t="shared" si="8"/>
        <v>41898.958333333328</v>
      </c>
      <c r="G194" s="79"/>
      <c r="H194" s="79">
        <f t="shared" si="9"/>
        <v>420.83333333333331</v>
      </c>
      <c r="I194" s="79">
        <f t="shared" si="10"/>
        <v>42319.791666666664</v>
      </c>
      <c r="K194" s="80">
        <f t="shared" si="11"/>
        <v>5050000</v>
      </c>
    </row>
    <row r="195" spans="1:11" ht="15" x14ac:dyDescent="0.25">
      <c r="A195" s="77">
        <v>45962</v>
      </c>
      <c r="B195" s="78">
        <v>0</v>
      </c>
      <c r="C195" s="78">
        <v>0</v>
      </c>
      <c r="D195" s="78">
        <f>B203/12</f>
        <v>18750</v>
      </c>
      <c r="E195" s="78">
        <f>C197/6</f>
        <v>23148.958333333332</v>
      </c>
      <c r="F195" s="79">
        <f t="shared" si="8"/>
        <v>41898.958333333328</v>
      </c>
      <c r="G195" s="79"/>
      <c r="H195" s="79">
        <f t="shared" si="9"/>
        <v>420.83333333333331</v>
      </c>
      <c r="I195" s="79">
        <f t="shared" si="10"/>
        <v>42319.791666666664</v>
      </c>
      <c r="K195" s="80">
        <f t="shared" si="11"/>
        <v>5050000</v>
      </c>
    </row>
    <row r="196" spans="1:11" ht="15" x14ac:dyDescent="0.25">
      <c r="A196" s="77">
        <v>45992</v>
      </c>
      <c r="B196" s="78">
        <v>0</v>
      </c>
      <c r="C196" s="78">
        <v>0</v>
      </c>
      <c r="D196" s="78">
        <f>B203/12</f>
        <v>18750</v>
      </c>
      <c r="E196" s="78">
        <f>C197/6</f>
        <v>23148.958333333332</v>
      </c>
      <c r="F196" s="79">
        <f t="shared" si="8"/>
        <v>41898.958333333328</v>
      </c>
      <c r="G196" s="79"/>
      <c r="H196" s="79">
        <f t="shared" si="9"/>
        <v>420.83333333333331</v>
      </c>
      <c r="I196" s="79">
        <f t="shared" si="10"/>
        <v>42319.791666666664</v>
      </c>
      <c r="K196" s="80">
        <f t="shared" si="11"/>
        <v>5050000</v>
      </c>
    </row>
    <row r="197" spans="1:11" ht="15" x14ac:dyDescent="0.25">
      <c r="A197" s="77">
        <v>46023</v>
      </c>
      <c r="B197" s="78">
        <v>0</v>
      </c>
      <c r="C197" s="78">
        <v>138893.75</v>
      </c>
      <c r="D197" s="78">
        <f>B203/12</f>
        <v>18750</v>
      </c>
      <c r="E197" s="78">
        <f>C197/6</f>
        <v>23148.958333333332</v>
      </c>
      <c r="F197" s="79">
        <f t="shared" si="8"/>
        <v>41898.958333333328</v>
      </c>
      <c r="G197" s="79"/>
      <c r="H197" s="79">
        <f t="shared" si="9"/>
        <v>420.83333333333331</v>
      </c>
      <c r="I197" s="79">
        <f t="shared" si="10"/>
        <v>42319.791666666664</v>
      </c>
      <c r="K197" s="80">
        <f t="shared" si="11"/>
        <v>5050000</v>
      </c>
    </row>
    <row r="198" spans="1:11" ht="15" x14ac:dyDescent="0.25">
      <c r="A198" s="77">
        <v>46054</v>
      </c>
      <c r="B198" s="78">
        <v>0</v>
      </c>
      <c r="C198" s="78">
        <v>0</v>
      </c>
      <c r="D198" s="78">
        <f>B203/12</f>
        <v>18750</v>
      </c>
      <c r="E198" s="78">
        <f>C203/6</f>
        <v>23148.958333333332</v>
      </c>
      <c r="F198" s="79">
        <f t="shared" si="8"/>
        <v>41898.958333333328</v>
      </c>
      <c r="G198" s="79"/>
      <c r="H198" s="79">
        <f t="shared" si="9"/>
        <v>420.83333333333331</v>
      </c>
      <c r="I198" s="79">
        <f t="shared" si="10"/>
        <v>42319.791666666664</v>
      </c>
      <c r="J198" s="81"/>
      <c r="K198" s="80">
        <f t="shared" si="11"/>
        <v>5050000</v>
      </c>
    </row>
    <row r="199" spans="1:11" ht="15" x14ac:dyDescent="0.25">
      <c r="A199" s="77">
        <v>46082</v>
      </c>
      <c r="B199" s="78">
        <v>0</v>
      </c>
      <c r="C199" s="78">
        <v>0</v>
      </c>
      <c r="D199" s="78">
        <f>B203/12</f>
        <v>18750</v>
      </c>
      <c r="E199" s="78">
        <f>C203/6</f>
        <v>23148.958333333332</v>
      </c>
      <c r="F199" s="79">
        <f t="shared" si="8"/>
        <v>41898.958333333328</v>
      </c>
      <c r="G199" s="79"/>
      <c r="H199" s="79">
        <f t="shared" si="9"/>
        <v>420.83333333333331</v>
      </c>
      <c r="I199" s="79">
        <f t="shared" si="10"/>
        <v>42319.791666666664</v>
      </c>
      <c r="K199" s="80">
        <f t="shared" si="11"/>
        <v>5050000</v>
      </c>
    </row>
    <row r="200" spans="1:11" ht="15" x14ac:dyDescent="0.25">
      <c r="A200" s="77">
        <v>46113</v>
      </c>
      <c r="B200" s="78">
        <v>0</v>
      </c>
      <c r="C200" s="78">
        <v>0</v>
      </c>
      <c r="D200" s="78">
        <f>B203/12</f>
        <v>18750</v>
      </c>
      <c r="E200" s="78">
        <f>C203/6</f>
        <v>23148.958333333332</v>
      </c>
      <c r="F200" s="79">
        <f t="shared" ref="F200:F263" si="12">D200+E200</f>
        <v>41898.958333333328</v>
      </c>
      <c r="G200" s="79"/>
      <c r="H200" s="79">
        <f t="shared" si="9"/>
        <v>420.83333333333331</v>
      </c>
      <c r="I200" s="79">
        <f t="shared" si="10"/>
        <v>42319.791666666664</v>
      </c>
      <c r="K200" s="80">
        <f t="shared" si="11"/>
        <v>5050000</v>
      </c>
    </row>
    <row r="201" spans="1:11" ht="15" x14ac:dyDescent="0.25">
      <c r="A201" s="77">
        <v>46143</v>
      </c>
      <c r="B201" s="78">
        <v>0</v>
      </c>
      <c r="C201" s="78">
        <v>0</v>
      </c>
      <c r="D201" s="78">
        <f>B203/12</f>
        <v>18750</v>
      </c>
      <c r="E201" s="78">
        <f>C203/6</f>
        <v>23148.958333333332</v>
      </c>
      <c r="F201" s="79">
        <f t="shared" si="12"/>
        <v>41898.958333333328</v>
      </c>
      <c r="G201" s="79"/>
      <c r="H201" s="79">
        <f t="shared" ref="H201:H264" si="13">+(K202*0.001)/12</f>
        <v>420.83333333333331</v>
      </c>
      <c r="I201" s="79">
        <f t="shared" ref="I201:I264" si="14">+F201+G201+H201</f>
        <v>42319.791666666664</v>
      </c>
      <c r="K201" s="80">
        <f t="shared" si="11"/>
        <v>5050000</v>
      </c>
    </row>
    <row r="202" spans="1:11" ht="15" x14ac:dyDescent="0.25">
      <c r="A202" s="77">
        <v>46174</v>
      </c>
      <c r="B202" s="78">
        <v>0</v>
      </c>
      <c r="C202" s="78">
        <v>0</v>
      </c>
      <c r="D202" s="78">
        <f>B203/12</f>
        <v>18750</v>
      </c>
      <c r="E202" s="78">
        <f>C203/6</f>
        <v>23148.958333333332</v>
      </c>
      <c r="F202" s="79">
        <f t="shared" si="12"/>
        <v>41898.958333333328</v>
      </c>
      <c r="G202" s="79"/>
      <c r="H202" s="79">
        <f t="shared" si="13"/>
        <v>420.83333333333331</v>
      </c>
      <c r="I202" s="79">
        <f t="shared" si="14"/>
        <v>42319.791666666664</v>
      </c>
      <c r="K202" s="80">
        <f t="shared" ref="K202:K265" si="15">+K201-B201</f>
        <v>5050000</v>
      </c>
    </row>
    <row r="203" spans="1:11" ht="15" x14ac:dyDescent="0.25">
      <c r="A203" s="77">
        <v>46204</v>
      </c>
      <c r="B203" s="78">
        <v>225000</v>
      </c>
      <c r="C203" s="78">
        <v>138893.75</v>
      </c>
      <c r="D203" s="78">
        <f>B203/12</f>
        <v>18750</v>
      </c>
      <c r="E203" s="78">
        <f>C203/6</f>
        <v>23148.958333333332</v>
      </c>
      <c r="F203" s="79">
        <f t="shared" si="12"/>
        <v>41898.958333333328</v>
      </c>
      <c r="G203" s="79"/>
      <c r="H203" s="79">
        <f t="shared" si="13"/>
        <v>402.08333333333331</v>
      </c>
      <c r="I203" s="79">
        <f t="shared" si="14"/>
        <v>42301.041666666664</v>
      </c>
      <c r="J203" s="78">
        <f>SUM(F192:F203)</f>
        <v>502787.49999999983</v>
      </c>
      <c r="K203" s="80">
        <f t="shared" si="15"/>
        <v>5050000</v>
      </c>
    </row>
    <row r="204" spans="1:11" ht="15" x14ac:dyDescent="0.25">
      <c r="A204" s="77">
        <v>46235</v>
      </c>
      <c r="B204" s="78">
        <v>0</v>
      </c>
      <c r="C204" s="78">
        <v>0</v>
      </c>
      <c r="D204" s="78">
        <f>B215/12</f>
        <v>20000</v>
      </c>
      <c r="E204" s="78">
        <f>C209/6</f>
        <v>22164.583333333332</v>
      </c>
      <c r="F204" s="79">
        <f t="shared" si="12"/>
        <v>42164.583333333328</v>
      </c>
      <c r="G204" s="79"/>
      <c r="H204" s="79">
        <f t="shared" si="13"/>
        <v>402.08333333333331</v>
      </c>
      <c r="I204" s="79">
        <f t="shared" si="14"/>
        <v>42566.666666666664</v>
      </c>
      <c r="K204" s="80">
        <f t="shared" si="15"/>
        <v>4825000</v>
      </c>
    </row>
    <row r="205" spans="1:11" ht="15" x14ac:dyDescent="0.25">
      <c r="A205" s="77">
        <v>46266</v>
      </c>
      <c r="B205" s="78">
        <v>0</v>
      </c>
      <c r="C205" s="78">
        <v>0</v>
      </c>
      <c r="D205" s="78">
        <f>B215/12</f>
        <v>20000</v>
      </c>
      <c r="E205" s="78">
        <f>C209/6</f>
        <v>22164.583333333332</v>
      </c>
      <c r="F205" s="79">
        <f t="shared" si="12"/>
        <v>42164.583333333328</v>
      </c>
      <c r="G205" s="79"/>
      <c r="H205" s="79">
        <f t="shared" si="13"/>
        <v>402.08333333333331</v>
      </c>
      <c r="I205" s="79">
        <f t="shared" si="14"/>
        <v>42566.666666666664</v>
      </c>
      <c r="K205" s="80">
        <f t="shared" si="15"/>
        <v>4825000</v>
      </c>
    </row>
    <row r="206" spans="1:11" ht="15" x14ac:dyDescent="0.25">
      <c r="A206" s="77">
        <v>46296</v>
      </c>
      <c r="B206" s="78">
        <v>0</v>
      </c>
      <c r="C206" s="78">
        <v>0</v>
      </c>
      <c r="D206" s="78">
        <f>B215/12</f>
        <v>20000</v>
      </c>
      <c r="E206" s="78">
        <f>C209/6</f>
        <v>22164.583333333332</v>
      </c>
      <c r="F206" s="79">
        <f t="shared" si="12"/>
        <v>42164.583333333328</v>
      </c>
      <c r="G206" s="79"/>
      <c r="H206" s="79">
        <f t="shared" si="13"/>
        <v>402.08333333333331</v>
      </c>
      <c r="I206" s="79">
        <f t="shared" si="14"/>
        <v>42566.666666666664</v>
      </c>
      <c r="K206" s="80">
        <f t="shared" si="15"/>
        <v>4825000</v>
      </c>
    </row>
    <row r="207" spans="1:11" ht="15" x14ac:dyDescent="0.25">
      <c r="A207" s="77">
        <v>46327</v>
      </c>
      <c r="B207" s="78">
        <v>0</v>
      </c>
      <c r="C207" s="78">
        <v>0</v>
      </c>
      <c r="D207" s="78">
        <f>B215/12</f>
        <v>20000</v>
      </c>
      <c r="E207" s="78">
        <f>C209/6</f>
        <v>22164.583333333332</v>
      </c>
      <c r="F207" s="79">
        <f t="shared" si="12"/>
        <v>42164.583333333328</v>
      </c>
      <c r="G207" s="79"/>
      <c r="H207" s="79">
        <f t="shared" si="13"/>
        <v>402.08333333333331</v>
      </c>
      <c r="I207" s="79">
        <f t="shared" si="14"/>
        <v>42566.666666666664</v>
      </c>
      <c r="K207" s="80">
        <f t="shared" si="15"/>
        <v>4825000</v>
      </c>
    </row>
    <row r="208" spans="1:11" ht="15" x14ac:dyDescent="0.25">
      <c r="A208" s="77">
        <v>46357</v>
      </c>
      <c r="B208" s="78">
        <v>0</v>
      </c>
      <c r="C208" s="78">
        <v>0</v>
      </c>
      <c r="D208" s="78">
        <f>B215/12</f>
        <v>20000</v>
      </c>
      <c r="E208" s="78">
        <f>C209/6</f>
        <v>22164.583333333332</v>
      </c>
      <c r="F208" s="79">
        <f t="shared" si="12"/>
        <v>42164.583333333328</v>
      </c>
      <c r="G208" s="79"/>
      <c r="H208" s="79">
        <f t="shared" si="13"/>
        <v>402.08333333333331</v>
      </c>
      <c r="I208" s="79">
        <f t="shared" si="14"/>
        <v>42566.666666666664</v>
      </c>
      <c r="K208" s="80">
        <f t="shared" si="15"/>
        <v>4825000</v>
      </c>
    </row>
    <row r="209" spans="1:11" ht="15" x14ac:dyDescent="0.25">
      <c r="A209" s="77">
        <v>46388</v>
      </c>
      <c r="B209" s="78">
        <v>0</v>
      </c>
      <c r="C209" s="78">
        <v>132987.5</v>
      </c>
      <c r="D209" s="78">
        <f>B215/12</f>
        <v>20000</v>
      </c>
      <c r="E209" s="78">
        <f>C209/6</f>
        <v>22164.583333333332</v>
      </c>
      <c r="F209" s="79">
        <f t="shared" si="12"/>
        <v>42164.583333333328</v>
      </c>
      <c r="G209" s="79"/>
      <c r="H209" s="79">
        <f t="shared" si="13"/>
        <v>402.08333333333331</v>
      </c>
      <c r="I209" s="79">
        <f t="shared" si="14"/>
        <v>42566.666666666664</v>
      </c>
      <c r="K209" s="80">
        <f t="shared" si="15"/>
        <v>4825000</v>
      </c>
    </row>
    <row r="210" spans="1:11" ht="15" x14ac:dyDescent="0.25">
      <c r="A210" s="77">
        <v>46419</v>
      </c>
      <c r="B210" s="78">
        <v>0</v>
      </c>
      <c r="C210" s="78">
        <v>0</v>
      </c>
      <c r="D210" s="78">
        <f>B215/12</f>
        <v>20000</v>
      </c>
      <c r="E210" s="78">
        <f>C215/6</f>
        <v>22164.583333333332</v>
      </c>
      <c r="F210" s="79">
        <f t="shared" si="12"/>
        <v>42164.583333333328</v>
      </c>
      <c r="G210" s="79"/>
      <c r="H210" s="79">
        <f t="shared" si="13"/>
        <v>402.08333333333331</v>
      </c>
      <c r="I210" s="79">
        <f t="shared" si="14"/>
        <v>42566.666666666664</v>
      </c>
      <c r="K210" s="80">
        <f t="shared" si="15"/>
        <v>4825000</v>
      </c>
    </row>
    <row r="211" spans="1:11" ht="15" x14ac:dyDescent="0.25">
      <c r="A211" s="77">
        <v>46447</v>
      </c>
      <c r="B211" s="78">
        <v>0</v>
      </c>
      <c r="C211" s="78">
        <v>0</v>
      </c>
      <c r="D211" s="78">
        <f>B215/12</f>
        <v>20000</v>
      </c>
      <c r="E211" s="78">
        <f>C215/6</f>
        <v>22164.583333333332</v>
      </c>
      <c r="F211" s="79">
        <f t="shared" si="12"/>
        <v>42164.583333333328</v>
      </c>
      <c r="G211" s="79"/>
      <c r="H211" s="79">
        <f t="shared" si="13"/>
        <v>402.08333333333331</v>
      </c>
      <c r="I211" s="79">
        <f t="shared" si="14"/>
        <v>42566.666666666664</v>
      </c>
      <c r="K211" s="80">
        <f t="shared" si="15"/>
        <v>4825000</v>
      </c>
    </row>
    <row r="212" spans="1:11" ht="15" x14ac:dyDescent="0.25">
      <c r="A212" s="77">
        <v>46478</v>
      </c>
      <c r="B212" s="78">
        <v>0</v>
      </c>
      <c r="C212" s="78">
        <v>0</v>
      </c>
      <c r="D212" s="78">
        <f>B215/12</f>
        <v>20000</v>
      </c>
      <c r="E212" s="78">
        <f>C215/6</f>
        <v>22164.583333333332</v>
      </c>
      <c r="F212" s="79">
        <f t="shared" si="12"/>
        <v>42164.583333333328</v>
      </c>
      <c r="G212" s="79"/>
      <c r="H212" s="79">
        <f t="shared" si="13"/>
        <v>402.08333333333331</v>
      </c>
      <c r="I212" s="79">
        <f t="shared" si="14"/>
        <v>42566.666666666664</v>
      </c>
      <c r="K212" s="80">
        <f t="shared" si="15"/>
        <v>4825000</v>
      </c>
    </row>
    <row r="213" spans="1:11" ht="15" x14ac:dyDescent="0.25">
      <c r="A213" s="77">
        <v>46508</v>
      </c>
      <c r="B213" s="78">
        <v>0</v>
      </c>
      <c r="C213" s="78">
        <v>0</v>
      </c>
      <c r="D213" s="78">
        <f>B215/12</f>
        <v>20000</v>
      </c>
      <c r="E213" s="78">
        <f>C215/6</f>
        <v>22164.583333333332</v>
      </c>
      <c r="F213" s="79">
        <f t="shared" si="12"/>
        <v>42164.583333333328</v>
      </c>
      <c r="G213" s="79"/>
      <c r="H213" s="79">
        <f t="shared" si="13"/>
        <v>402.08333333333331</v>
      </c>
      <c r="I213" s="79">
        <f t="shared" si="14"/>
        <v>42566.666666666664</v>
      </c>
      <c r="K213" s="80">
        <f t="shared" si="15"/>
        <v>4825000</v>
      </c>
    </row>
    <row r="214" spans="1:11" ht="15" x14ac:dyDescent="0.25">
      <c r="A214" s="77">
        <v>46539</v>
      </c>
      <c r="B214" s="78">
        <v>0</v>
      </c>
      <c r="C214" s="78">
        <v>0</v>
      </c>
      <c r="D214" s="78">
        <f>B215/12</f>
        <v>20000</v>
      </c>
      <c r="E214" s="78">
        <f>C215/6</f>
        <v>22164.583333333332</v>
      </c>
      <c r="F214" s="79">
        <f t="shared" si="12"/>
        <v>42164.583333333328</v>
      </c>
      <c r="G214" s="79"/>
      <c r="H214" s="79">
        <f t="shared" si="13"/>
        <v>402.08333333333331</v>
      </c>
      <c r="I214" s="79">
        <f t="shared" si="14"/>
        <v>42566.666666666664</v>
      </c>
      <c r="K214" s="80">
        <f t="shared" si="15"/>
        <v>4825000</v>
      </c>
    </row>
    <row r="215" spans="1:11" ht="15" x14ac:dyDescent="0.25">
      <c r="A215" s="77">
        <v>46569</v>
      </c>
      <c r="B215" s="78">
        <v>240000</v>
      </c>
      <c r="C215" s="78">
        <v>132987.5</v>
      </c>
      <c r="D215" s="78">
        <f>B215/12</f>
        <v>20000</v>
      </c>
      <c r="E215" s="78">
        <f>C215/6</f>
        <v>22164.583333333332</v>
      </c>
      <c r="F215" s="79">
        <f t="shared" si="12"/>
        <v>42164.583333333328</v>
      </c>
      <c r="G215" s="79"/>
      <c r="H215" s="79">
        <f t="shared" si="13"/>
        <v>382.08333333333331</v>
      </c>
      <c r="I215" s="79">
        <f t="shared" si="14"/>
        <v>42546.666666666664</v>
      </c>
      <c r="J215" s="78">
        <f>SUM(F204:F215)</f>
        <v>505974.99999999983</v>
      </c>
      <c r="K215" s="80">
        <f t="shared" si="15"/>
        <v>4825000</v>
      </c>
    </row>
    <row r="216" spans="1:11" ht="15" x14ac:dyDescent="0.25">
      <c r="A216" s="77">
        <v>46600</v>
      </c>
      <c r="B216" s="78">
        <v>0</v>
      </c>
      <c r="C216" s="78">
        <v>0</v>
      </c>
      <c r="D216" s="78">
        <f>B227/12</f>
        <v>20833.333333333332</v>
      </c>
      <c r="E216" s="78">
        <f>C221/6</f>
        <v>21114.583333333332</v>
      </c>
      <c r="F216" s="79">
        <f t="shared" si="12"/>
        <v>41947.916666666664</v>
      </c>
      <c r="G216" s="79"/>
      <c r="H216" s="79">
        <f t="shared" si="13"/>
        <v>382.08333333333331</v>
      </c>
      <c r="I216" s="79">
        <f t="shared" si="14"/>
        <v>42330</v>
      </c>
      <c r="K216" s="80">
        <f t="shared" si="15"/>
        <v>4585000</v>
      </c>
    </row>
    <row r="217" spans="1:11" ht="15" x14ac:dyDescent="0.25">
      <c r="A217" s="77">
        <v>46631</v>
      </c>
      <c r="B217" s="78">
        <v>0</v>
      </c>
      <c r="C217" s="78">
        <v>0</v>
      </c>
      <c r="D217" s="78">
        <f>B227/12</f>
        <v>20833.333333333332</v>
      </c>
      <c r="E217" s="78">
        <f>C221/6</f>
        <v>21114.583333333332</v>
      </c>
      <c r="F217" s="79">
        <f t="shared" si="12"/>
        <v>41947.916666666664</v>
      </c>
      <c r="G217" s="79"/>
      <c r="H217" s="79">
        <f t="shared" si="13"/>
        <v>382.08333333333331</v>
      </c>
      <c r="I217" s="79">
        <f t="shared" si="14"/>
        <v>42330</v>
      </c>
      <c r="K217" s="80">
        <f t="shared" si="15"/>
        <v>4585000</v>
      </c>
    </row>
    <row r="218" spans="1:11" ht="15" x14ac:dyDescent="0.25">
      <c r="A218" s="77">
        <v>46661</v>
      </c>
      <c r="B218" s="78">
        <v>0</v>
      </c>
      <c r="C218" s="78">
        <v>0</v>
      </c>
      <c r="D218" s="78">
        <f>B227/12</f>
        <v>20833.333333333332</v>
      </c>
      <c r="E218" s="78">
        <f>C221/6</f>
        <v>21114.583333333332</v>
      </c>
      <c r="F218" s="79">
        <f t="shared" si="12"/>
        <v>41947.916666666664</v>
      </c>
      <c r="G218" s="79"/>
      <c r="H218" s="79">
        <f t="shared" si="13"/>
        <v>382.08333333333331</v>
      </c>
      <c r="I218" s="79">
        <f t="shared" si="14"/>
        <v>42330</v>
      </c>
      <c r="K218" s="80">
        <f t="shared" si="15"/>
        <v>4585000</v>
      </c>
    </row>
    <row r="219" spans="1:11" ht="15" x14ac:dyDescent="0.25">
      <c r="A219" s="77">
        <v>46692</v>
      </c>
      <c r="B219" s="78">
        <v>0</v>
      </c>
      <c r="C219" s="78">
        <v>0</v>
      </c>
      <c r="D219" s="78">
        <f>B227/12</f>
        <v>20833.333333333332</v>
      </c>
      <c r="E219" s="78">
        <f>C221/6</f>
        <v>21114.583333333332</v>
      </c>
      <c r="F219" s="79">
        <f t="shared" si="12"/>
        <v>41947.916666666664</v>
      </c>
      <c r="G219" s="79"/>
      <c r="H219" s="79">
        <f t="shared" si="13"/>
        <v>382.08333333333331</v>
      </c>
      <c r="I219" s="79">
        <f t="shared" si="14"/>
        <v>42330</v>
      </c>
      <c r="K219" s="80">
        <f t="shared" si="15"/>
        <v>4585000</v>
      </c>
    </row>
    <row r="220" spans="1:11" ht="15" x14ac:dyDescent="0.25">
      <c r="A220" s="77">
        <v>46722</v>
      </c>
      <c r="B220" s="78">
        <v>0</v>
      </c>
      <c r="C220" s="78">
        <v>0</v>
      </c>
      <c r="D220" s="78">
        <f>B227/12</f>
        <v>20833.333333333332</v>
      </c>
      <c r="E220" s="78">
        <f>C221/6</f>
        <v>21114.583333333332</v>
      </c>
      <c r="F220" s="79">
        <f t="shared" si="12"/>
        <v>41947.916666666664</v>
      </c>
      <c r="G220" s="79"/>
      <c r="H220" s="79">
        <f t="shared" si="13"/>
        <v>382.08333333333331</v>
      </c>
      <c r="I220" s="79">
        <f t="shared" si="14"/>
        <v>42330</v>
      </c>
      <c r="K220" s="80">
        <f t="shared" si="15"/>
        <v>4585000</v>
      </c>
    </row>
    <row r="221" spans="1:11" ht="15" x14ac:dyDescent="0.25">
      <c r="A221" s="77">
        <v>46753</v>
      </c>
      <c r="B221" s="78">
        <v>0</v>
      </c>
      <c r="C221" s="78">
        <v>126687.5</v>
      </c>
      <c r="D221" s="78">
        <f>B227/12</f>
        <v>20833.333333333332</v>
      </c>
      <c r="E221" s="78">
        <f>C221/6</f>
        <v>21114.583333333332</v>
      </c>
      <c r="F221" s="79">
        <f t="shared" si="12"/>
        <v>41947.916666666664</v>
      </c>
      <c r="G221" s="79"/>
      <c r="H221" s="79">
        <f t="shared" si="13"/>
        <v>382.08333333333331</v>
      </c>
      <c r="I221" s="79">
        <f t="shared" si="14"/>
        <v>42330</v>
      </c>
      <c r="K221" s="80">
        <f t="shared" si="15"/>
        <v>4585000</v>
      </c>
    </row>
    <row r="222" spans="1:11" ht="15" x14ac:dyDescent="0.25">
      <c r="A222" s="77">
        <v>46784</v>
      </c>
      <c r="B222" s="78">
        <v>0</v>
      </c>
      <c r="C222" s="78">
        <v>0</v>
      </c>
      <c r="D222" s="78">
        <f>B227/12</f>
        <v>20833.333333333332</v>
      </c>
      <c r="E222" s="78">
        <f>C227/6</f>
        <v>21114.583333333332</v>
      </c>
      <c r="F222" s="79">
        <f t="shared" si="12"/>
        <v>41947.916666666664</v>
      </c>
      <c r="G222" s="79"/>
      <c r="H222" s="79">
        <f t="shared" si="13"/>
        <v>382.08333333333331</v>
      </c>
      <c r="I222" s="79">
        <f t="shared" si="14"/>
        <v>42330</v>
      </c>
      <c r="J222" s="81"/>
      <c r="K222" s="80">
        <f t="shared" si="15"/>
        <v>4585000</v>
      </c>
    </row>
    <row r="223" spans="1:11" ht="15" x14ac:dyDescent="0.25">
      <c r="A223" s="77">
        <v>46813</v>
      </c>
      <c r="B223" s="78">
        <v>0</v>
      </c>
      <c r="C223" s="78">
        <v>0</v>
      </c>
      <c r="D223" s="78">
        <f>B227/12</f>
        <v>20833.333333333332</v>
      </c>
      <c r="E223" s="78">
        <f>C227/6</f>
        <v>21114.583333333332</v>
      </c>
      <c r="F223" s="79">
        <f t="shared" si="12"/>
        <v>41947.916666666664</v>
      </c>
      <c r="G223" s="79"/>
      <c r="H223" s="79">
        <f t="shared" si="13"/>
        <v>382.08333333333331</v>
      </c>
      <c r="I223" s="79">
        <f t="shared" si="14"/>
        <v>42330</v>
      </c>
      <c r="K223" s="80">
        <f t="shared" si="15"/>
        <v>4585000</v>
      </c>
    </row>
    <row r="224" spans="1:11" ht="15" x14ac:dyDescent="0.25">
      <c r="A224" s="77">
        <v>46844</v>
      </c>
      <c r="B224" s="78">
        <v>0</v>
      </c>
      <c r="C224" s="78">
        <v>0</v>
      </c>
      <c r="D224" s="78">
        <f>B227/12</f>
        <v>20833.333333333332</v>
      </c>
      <c r="E224" s="78">
        <f>C227/6</f>
        <v>21114.583333333332</v>
      </c>
      <c r="F224" s="79">
        <f t="shared" si="12"/>
        <v>41947.916666666664</v>
      </c>
      <c r="G224" s="79"/>
      <c r="H224" s="79">
        <f t="shared" si="13"/>
        <v>382.08333333333331</v>
      </c>
      <c r="I224" s="79">
        <f t="shared" si="14"/>
        <v>42330</v>
      </c>
      <c r="K224" s="80">
        <f t="shared" si="15"/>
        <v>4585000</v>
      </c>
    </row>
    <row r="225" spans="1:11" ht="15" x14ac:dyDescent="0.25">
      <c r="A225" s="77">
        <v>46874</v>
      </c>
      <c r="B225" s="78">
        <v>0</v>
      </c>
      <c r="C225" s="78">
        <v>0</v>
      </c>
      <c r="D225" s="78">
        <f>B227/12</f>
        <v>20833.333333333332</v>
      </c>
      <c r="E225" s="78">
        <f>C227/6</f>
        <v>21114.583333333332</v>
      </c>
      <c r="F225" s="79">
        <f t="shared" si="12"/>
        <v>41947.916666666664</v>
      </c>
      <c r="G225" s="79"/>
      <c r="H225" s="79">
        <f t="shared" si="13"/>
        <v>382.08333333333331</v>
      </c>
      <c r="I225" s="79">
        <f t="shared" si="14"/>
        <v>42330</v>
      </c>
      <c r="K225" s="80">
        <f t="shared" si="15"/>
        <v>4585000</v>
      </c>
    </row>
    <row r="226" spans="1:11" ht="15" x14ac:dyDescent="0.25">
      <c r="A226" s="77">
        <v>46905</v>
      </c>
      <c r="B226" s="78">
        <v>0</v>
      </c>
      <c r="C226" s="78">
        <v>0</v>
      </c>
      <c r="D226" s="78">
        <f>B227/12</f>
        <v>20833.333333333332</v>
      </c>
      <c r="E226" s="78">
        <f>C227/6</f>
        <v>21114.583333333332</v>
      </c>
      <c r="F226" s="79">
        <f t="shared" si="12"/>
        <v>41947.916666666664</v>
      </c>
      <c r="G226" s="79"/>
      <c r="H226" s="79">
        <f t="shared" si="13"/>
        <v>382.08333333333331</v>
      </c>
      <c r="I226" s="79">
        <f t="shared" si="14"/>
        <v>42330</v>
      </c>
      <c r="K226" s="80">
        <f t="shared" si="15"/>
        <v>4585000</v>
      </c>
    </row>
    <row r="227" spans="1:11" ht="15" x14ac:dyDescent="0.25">
      <c r="A227" s="77">
        <v>46935</v>
      </c>
      <c r="B227" s="78">
        <v>250000</v>
      </c>
      <c r="C227" s="78">
        <v>126687.5</v>
      </c>
      <c r="D227" s="78">
        <f>B227/12</f>
        <v>20833.333333333332</v>
      </c>
      <c r="E227" s="78">
        <f>C227/6</f>
        <v>21114.583333333332</v>
      </c>
      <c r="F227" s="79">
        <f t="shared" si="12"/>
        <v>41947.916666666664</v>
      </c>
      <c r="G227" s="79"/>
      <c r="H227" s="79">
        <f t="shared" si="13"/>
        <v>361.25</v>
      </c>
      <c r="I227" s="79">
        <f t="shared" si="14"/>
        <v>42309.166666666664</v>
      </c>
      <c r="J227" s="78">
        <f>SUM(F216:F227)</f>
        <v>503375.00000000006</v>
      </c>
      <c r="K227" s="80">
        <f t="shared" si="15"/>
        <v>4585000</v>
      </c>
    </row>
    <row r="228" spans="1:11" ht="15" x14ac:dyDescent="0.25">
      <c r="A228" s="77">
        <v>46966</v>
      </c>
      <c r="B228" s="78">
        <v>0</v>
      </c>
      <c r="C228" s="78">
        <v>0</v>
      </c>
      <c r="D228" s="78">
        <f>B239/12</f>
        <v>22083.333333333332</v>
      </c>
      <c r="E228" s="78">
        <f>C233/6</f>
        <v>20020.833333333332</v>
      </c>
      <c r="F228" s="79">
        <f t="shared" si="12"/>
        <v>42104.166666666664</v>
      </c>
      <c r="G228" s="79"/>
      <c r="H228" s="79">
        <f t="shared" si="13"/>
        <v>361.25</v>
      </c>
      <c r="I228" s="79">
        <f t="shared" si="14"/>
        <v>42465.416666666664</v>
      </c>
      <c r="K228" s="80">
        <f t="shared" si="15"/>
        <v>4335000</v>
      </c>
    </row>
    <row r="229" spans="1:11" ht="15" x14ac:dyDescent="0.25">
      <c r="A229" s="77">
        <v>46997</v>
      </c>
      <c r="B229" s="78">
        <v>0</v>
      </c>
      <c r="C229" s="78">
        <v>0</v>
      </c>
      <c r="D229" s="78">
        <f>B239/12</f>
        <v>22083.333333333332</v>
      </c>
      <c r="E229" s="78">
        <f>C233/6</f>
        <v>20020.833333333332</v>
      </c>
      <c r="F229" s="79">
        <f t="shared" si="12"/>
        <v>42104.166666666664</v>
      </c>
      <c r="G229" s="79"/>
      <c r="H229" s="79">
        <f t="shared" si="13"/>
        <v>361.25</v>
      </c>
      <c r="I229" s="79">
        <f t="shared" si="14"/>
        <v>42465.416666666664</v>
      </c>
      <c r="K229" s="80">
        <f t="shared" si="15"/>
        <v>4335000</v>
      </c>
    </row>
    <row r="230" spans="1:11" ht="15" x14ac:dyDescent="0.25">
      <c r="A230" s="77">
        <v>47027</v>
      </c>
      <c r="B230" s="78">
        <v>0</v>
      </c>
      <c r="C230" s="78">
        <v>0</v>
      </c>
      <c r="D230" s="78">
        <f>B239/12</f>
        <v>22083.333333333332</v>
      </c>
      <c r="E230" s="78">
        <f>C233/6</f>
        <v>20020.833333333332</v>
      </c>
      <c r="F230" s="79">
        <f t="shared" si="12"/>
        <v>42104.166666666664</v>
      </c>
      <c r="G230" s="79"/>
      <c r="H230" s="79">
        <f t="shared" si="13"/>
        <v>361.25</v>
      </c>
      <c r="I230" s="79">
        <f t="shared" si="14"/>
        <v>42465.416666666664</v>
      </c>
      <c r="K230" s="80">
        <f t="shared" si="15"/>
        <v>4335000</v>
      </c>
    </row>
    <row r="231" spans="1:11" ht="15" x14ac:dyDescent="0.25">
      <c r="A231" s="77">
        <v>47058</v>
      </c>
      <c r="B231" s="78">
        <v>0</v>
      </c>
      <c r="C231" s="78">
        <v>0</v>
      </c>
      <c r="D231" s="78">
        <f>B239/12</f>
        <v>22083.333333333332</v>
      </c>
      <c r="E231" s="78">
        <f>C233/6</f>
        <v>20020.833333333332</v>
      </c>
      <c r="F231" s="79">
        <f t="shared" si="12"/>
        <v>42104.166666666664</v>
      </c>
      <c r="G231" s="79"/>
      <c r="H231" s="79">
        <f t="shared" si="13"/>
        <v>361.25</v>
      </c>
      <c r="I231" s="79">
        <f t="shared" si="14"/>
        <v>42465.416666666664</v>
      </c>
      <c r="K231" s="80">
        <f t="shared" si="15"/>
        <v>4335000</v>
      </c>
    </row>
    <row r="232" spans="1:11" ht="15" x14ac:dyDescent="0.25">
      <c r="A232" s="77">
        <v>47088</v>
      </c>
      <c r="B232" s="78">
        <v>0</v>
      </c>
      <c r="C232" s="78">
        <v>0</v>
      </c>
      <c r="D232" s="78">
        <f>B239/12</f>
        <v>22083.333333333332</v>
      </c>
      <c r="E232" s="78">
        <f>C233/6</f>
        <v>20020.833333333332</v>
      </c>
      <c r="F232" s="79">
        <f t="shared" si="12"/>
        <v>42104.166666666664</v>
      </c>
      <c r="G232" s="79"/>
      <c r="H232" s="79">
        <f t="shared" si="13"/>
        <v>361.25</v>
      </c>
      <c r="I232" s="79">
        <f t="shared" si="14"/>
        <v>42465.416666666664</v>
      </c>
      <c r="K232" s="80">
        <f t="shared" si="15"/>
        <v>4335000</v>
      </c>
    </row>
    <row r="233" spans="1:11" ht="15" x14ac:dyDescent="0.25">
      <c r="A233" s="77">
        <v>47119</v>
      </c>
      <c r="B233" s="78">
        <v>0</v>
      </c>
      <c r="C233" s="78">
        <v>120125</v>
      </c>
      <c r="D233" s="78">
        <f>B239/12</f>
        <v>22083.333333333332</v>
      </c>
      <c r="E233" s="78">
        <f>C233/6</f>
        <v>20020.833333333332</v>
      </c>
      <c r="F233" s="79">
        <f t="shared" si="12"/>
        <v>42104.166666666664</v>
      </c>
      <c r="G233" s="79"/>
      <c r="H233" s="79">
        <f t="shared" si="13"/>
        <v>361.25</v>
      </c>
      <c r="I233" s="79">
        <f t="shared" si="14"/>
        <v>42465.416666666664</v>
      </c>
      <c r="K233" s="80">
        <f t="shared" si="15"/>
        <v>4335000</v>
      </c>
    </row>
    <row r="234" spans="1:11" ht="15" x14ac:dyDescent="0.25">
      <c r="A234" s="77">
        <v>47150</v>
      </c>
      <c r="B234" s="78">
        <v>0</v>
      </c>
      <c r="C234" s="78">
        <v>0</v>
      </c>
      <c r="D234" s="78">
        <f>B239/12</f>
        <v>22083.333333333332</v>
      </c>
      <c r="E234" s="78">
        <f>C239/6</f>
        <v>20020.833333333332</v>
      </c>
      <c r="F234" s="79">
        <f t="shared" si="12"/>
        <v>42104.166666666664</v>
      </c>
      <c r="G234" s="79"/>
      <c r="H234" s="79">
        <f t="shared" si="13"/>
        <v>361.25</v>
      </c>
      <c r="I234" s="79">
        <f t="shared" si="14"/>
        <v>42465.416666666664</v>
      </c>
      <c r="K234" s="80">
        <f t="shared" si="15"/>
        <v>4335000</v>
      </c>
    </row>
    <row r="235" spans="1:11" ht="15" x14ac:dyDescent="0.25">
      <c r="A235" s="77">
        <v>47178</v>
      </c>
      <c r="B235" s="78">
        <v>0</v>
      </c>
      <c r="C235" s="78">
        <v>0</v>
      </c>
      <c r="D235" s="78">
        <f>B239/12</f>
        <v>22083.333333333332</v>
      </c>
      <c r="E235" s="78">
        <f>C239/6</f>
        <v>20020.833333333332</v>
      </c>
      <c r="F235" s="79">
        <f t="shared" si="12"/>
        <v>42104.166666666664</v>
      </c>
      <c r="G235" s="79"/>
      <c r="H235" s="79">
        <f t="shared" si="13"/>
        <v>361.25</v>
      </c>
      <c r="I235" s="79">
        <f t="shared" si="14"/>
        <v>42465.416666666664</v>
      </c>
      <c r="K235" s="80">
        <f t="shared" si="15"/>
        <v>4335000</v>
      </c>
    </row>
    <row r="236" spans="1:11" ht="15" x14ac:dyDescent="0.25">
      <c r="A236" s="77">
        <v>47209</v>
      </c>
      <c r="B236" s="78">
        <v>0</v>
      </c>
      <c r="C236" s="78">
        <v>0</v>
      </c>
      <c r="D236" s="78">
        <f>B239/12</f>
        <v>22083.333333333332</v>
      </c>
      <c r="E236" s="78">
        <f>C239/6</f>
        <v>20020.833333333332</v>
      </c>
      <c r="F236" s="79">
        <f t="shared" si="12"/>
        <v>42104.166666666664</v>
      </c>
      <c r="G236" s="79"/>
      <c r="H236" s="79">
        <f t="shared" si="13"/>
        <v>361.25</v>
      </c>
      <c r="I236" s="79">
        <f t="shared" si="14"/>
        <v>42465.416666666664</v>
      </c>
      <c r="K236" s="80">
        <f t="shared" si="15"/>
        <v>4335000</v>
      </c>
    </row>
    <row r="237" spans="1:11" ht="15" x14ac:dyDescent="0.25">
      <c r="A237" s="77">
        <v>47239</v>
      </c>
      <c r="B237" s="78">
        <v>0</v>
      </c>
      <c r="C237" s="78">
        <v>0</v>
      </c>
      <c r="D237" s="78">
        <f>B239/12</f>
        <v>22083.333333333332</v>
      </c>
      <c r="E237" s="78">
        <f>C239/6</f>
        <v>20020.833333333332</v>
      </c>
      <c r="F237" s="79">
        <f t="shared" si="12"/>
        <v>42104.166666666664</v>
      </c>
      <c r="G237" s="79"/>
      <c r="H237" s="79">
        <f t="shared" si="13"/>
        <v>361.25</v>
      </c>
      <c r="I237" s="79">
        <f t="shared" si="14"/>
        <v>42465.416666666664</v>
      </c>
      <c r="K237" s="80">
        <f t="shared" si="15"/>
        <v>4335000</v>
      </c>
    </row>
    <row r="238" spans="1:11" ht="15" x14ac:dyDescent="0.25">
      <c r="A238" s="77">
        <v>47270</v>
      </c>
      <c r="B238" s="78">
        <v>0</v>
      </c>
      <c r="C238" s="78">
        <v>0</v>
      </c>
      <c r="D238" s="78">
        <f>B239/12</f>
        <v>22083.333333333332</v>
      </c>
      <c r="E238" s="78">
        <f>C239/6</f>
        <v>20020.833333333332</v>
      </c>
      <c r="F238" s="79">
        <f t="shared" si="12"/>
        <v>42104.166666666664</v>
      </c>
      <c r="G238" s="79"/>
      <c r="H238" s="79">
        <f t="shared" si="13"/>
        <v>361.25</v>
      </c>
      <c r="I238" s="79">
        <f t="shared" si="14"/>
        <v>42465.416666666664</v>
      </c>
      <c r="K238" s="80">
        <f t="shared" si="15"/>
        <v>4335000</v>
      </c>
    </row>
    <row r="239" spans="1:11" ht="15" x14ac:dyDescent="0.25">
      <c r="A239" s="77">
        <v>47300</v>
      </c>
      <c r="B239" s="78">
        <v>265000</v>
      </c>
      <c r="C239" s="78">
        <v>120125</v>
      </c>
      <c r="D239" s="78">
        <f>B239/12</f>
        <v>22083.333333333332</v>
      </c>
      <c r="E239" s="78">
        <f>C239/6</f>
        <v>20020.833333333332</v>
      </c>
      <c r="F239" s="79">
        <f t="shared" si="12"/>
        <v>42104.166666666664</v>
      </c>
      <c r="G239" s="79"/>
      <c r="H239" s="79">
        <f t="shared" si="13"/>
        <v>339.16666666666669</v>
      </c>
      <c r="I239" s="79">
        <f t="shared" si="14"/>
        <v>42443.333333333328</v>
      </c>
      <c r="J239" s="78">
        <f>SUM(F228:F239)</f>
        <v>505250.00000000006</v>
      </c>
      <c r="K239" s="80">
        <f t="shared" si="15"/>
        <v>4335000</v>
      </c>
    </row>
    <row r="240" spans="1:11" ht="15" x14ac:dyDescent="0.25">
      <c r="A240" s="77">
        <v>47331</v>
      </c>
      <c r="B240" s="78">
        <v>0</v>
      </c>
      <c r="C240" s="78">
        <v>0</v>
      </c>
      <c r="D240" s="78">
        <f>B251/12</f>
        <v>23333.333333333332</v>
      </c>
      <c r="E240" s="78">
        <f>C245/6</f>
        <v>18784.166666666668</v>
      </c>
      <c r="F240" s="79">
        <f t="shared" si="12"/>
        <v>42117.5</v>
      </c>
      <c r="G240" s="79"/>
      <c r="H240" s="79">
        <f t="shared" si="13"/>
        <v>339.16666666666669</v>
      </c>
      <c r="I240" s="79">
        <f t="shared" si="14"/>
        <v>42456.666666666664</v>
      </c>
      <c r="K240" s="80">
        <f t="shared" si="15"/>
        <v>4070000</v>
      </c>
    </row>
    <row r="241" spans="1:11" ht="15" x14ac:dyDescent="0.25">
      <c r="A241" s="77">
        <v>47362</v>
      </c>
      <c r="B241" s="78">
        <v>0</v>
      </c>
      <c r="C241" s="78">
        <v>0</v>
      </c>
      <c r="D241" s="78">
        <f>B251/12</f>
        <v>23333.333333333332</v>
      </c>
      <c r="E241" s="78">
        <f>C245/6</f>
        <v>18784.166666666668</v>
      </c>
      <c r="F241" s="79">
        <f t="shared" si="12"/>
        <v>42117.5</v>
      </c>
      <c r="G241" s="79"/>
      <c r="H241" s="79">
        <f t="shared" si="13"/>
        <v>339.16666666666669</v>
      </c>
      <c r="I241" s="79">
        <f t="shared" si="14"/>
        <v>42456.666666666664</v>
      </c>
      <c r="K241" s="80">
        <f t="shared" si="15"/>
        <v>4070000</v>
      </c>
    </row>
    <row r="242" spans="1:11" ht="15" x14ac:dyDescent="0.25">
      <c r="A242" s="77">
        <v>47392</v>
      </c>
      <c r="B242" s="78">
        <v>0</v>
      </c>
      <c r="C242" s="78">
        <v>0</v>
      </c>
      <c r="D242" s="78">
        <f>B251/12</f>
        <v>23333.333333333332</v>
      </c>
      <c r="E242" s="78">
        <f>C245/6</f>
        <v>18784.166666666668</v>
      </c>
      <c r="F242" s="79">
        <f t="shared" si="12"/>
        <v>42117.5</v>
      </c>
      <c r="G242" s="79"/>
      <c r="H242" s="79">
        <f t="shared" si="13"/>
        <v>339.16666666666669</v>
      </c>
      <c r="I242" s="79">
        <f t="shared" si="14"/>
        <v>42456.666666666664</v>
      </c>
      <c r="K242" s="80">
        <f t="shared" si="15"/>
        <v>4070000</v>
      </c>
    </row>
    <row r="243" spans="1:11" ht="15" x14ac:dyDescent="0.25">
      <c r="A243" s="77">
        <v>47423</v>
      </c>
      <c r="B243" s="78">
        <v>0</v>
      </c>
      <c r="C243" s="78">
        <v>0</v>
      </c>
      <c r="D243" s="78">
        <f>B251/12</f>
        <v>23333.333333333332</v>
      </c>
      <c r="E243" s="78">
        <f>C245/6</f>
        <v>18784.166666666668</v>
      </c>
      <c r="F243" s="79">
        <f t="shared" si="12"/>
        <v>42117.5</v>
      </c>
      <c r="G243" s="79"/>
      <c r="H243" s="79">
        <f t="shared" si="13"/>
        <v>339.16666666666669</v>
      </c>
      <c r="I243" s="79">
        <f t="shared" si="14"/>
        <v>42456.666666666664</v>
      </c>
      <c r="K243" s="80">
        <f t="shared" si="15"/>
        <v>4070000</v>
      </c>
    </row>
    <row r="244" spans="1:11" ht="15" x14ac:dyDescent="0.25">
      <c r="A244" s="77">
        <v>47453</v>
      </c>
      <c r="B244" s="78">
        <v>0</v>
      </c>
      <c r="C244" s="78">
        <v>0</v>
      </c>
      <c r="D244" s="78">
        <f>B251/12</f>
        <v>23333.333333333332</v>
      </c>
      <c r="E244" s="78">
        <f>C245/6</f>
        <v>18784.166666666668</v>
      </c>
      <c r="F244" s="79">
        <f t="shared" si="12"/>
        <v>42117.5</v>
      </c>
      <c r="G244" s="79"/>
      <c r="H244" s="79">
        <f t="shared" si="13"/>
        <v>339.16666666666669</v>
      </c>
      <c r="I244" s="79">
        <f t="shared" si="14"/>
        <v>42456.666666666664</v>
      </c>
      <c r="K244" s="80">
        <f t="shared" si="15"/>
        <v>4070000</v>
      </c>
    </row>
    <row r="245" spans="1:11" ht="15" x14ac:dyDescent="0.25">
      <c r="A245" s="77">
        <v>47484</v>
      </c>
      <c r="B245" s="78">
        <v>0</v>
      </c>
      <c r="C245" s="78">
        <v>112705</v>
      </c>
      <c r="D245" s="78">
        <f>B251/12</f>
        <v>23333.333333333332</v>
      </c>
      <c r="E245" s="78">
        <f>C245/6</f>
        <v>18784.166666666668</v>
      </c>
      <c r="F245" s="79">
        <f t="shared" si="12"/>
        <v>42117.5</v>
      </c>
      <c r="G245" s="79"/>
      <c r="H245" s="79">
        <f t="shared" si="13"/>
        <v>339.16666666666669</v>
      </c>
      <c r="I245" s="79">
        <f t="shared" si="14"/>
        <v>42456.666666666664</v>
      </c>
      <c r="K245" s="80">
        <f t="shared" si="15"/>
        <v>4070000</v>
      </c>
    </row>
    <row r="246" spans="1:11" ht="15" x14ac:dyDescent="0.25">
      <c r="A246" s="77">
        <v>47515</v>
      </c>
      <c r="B246" s="78">
        <v>0</v>
      </c>
      <c r="C246" s="78">
        <v>0</v>
      </c>
      <c r="D246" s="78">
        <f>B251/12</f>
        <v>23333.333333333332</v>
      </c>
      <c r="E246" s="78">
        <f>C251/6</f>
        <v>18784.166666666668</v>
      </c>
      <c r="F246" s="79">
        <f t="shared" si="12"/>
        <v>42117.5</v>
      </c>
      <c r="G246" s="79"/>
      <c r="H246" s="79">
        <f t="shared" si="13"/>
        <v>339.16666666666669</v>
      </c>
      <c r="I246" s="79">
        <f t="shared" si="14"/>
        <v>42456.666666666664</v>
      </c>
      <c r="J246" s="81"/>
      <c r="K246" s="80">
        <f t="shared" si="15"/>
        <v>4070000</v>
      </c>
    </row>
    <row r="247" spans="1:11" ht="15" x14ac:dyDescent="0.25">
      <c r="A247" s="77">
        <v>47543</v>
      </c>
      <c r="B247" s="78">
        <v>0</v>
      </c>
      <c r="C247" s="78">
        <v>0</v>
      </c>
      <c r="D247" s="78">
        <f>B251/12</f>
        <v>23333.333333333332</v>
      </c>
      <c r="E247" s="78">
        <f>C251/6</f>
        <v>18784.166666666668</v>
      </c>
      <c r="F247" s="79">
        <f t="shared" si="12"/>
        <v>42117.5</v>
      </c>
      <c r="G247" s="79"/>
      <c r="H247" s="79">
        <f t="shared" si="13"/>
        <v>339.16666666666669</v>
      </c>
      <c r="I247" s="79">
        <f t="shared" si="14"/>
        <v>42456.666666666664</v>
      </c>
      <c r="K247" s="80">
        <f t="shared" si="15"/>
        <v>4070000</v>
      </c>
    </row>
    <row r="248" spans="1:11" ht="15" x14ac:dyDescent="0.25">
      <c r="A248" s="77">
        <v>47574</v>
      </c>
      <c r="B248" s="78">
        <v>0</v>
      </c>
      <c r="C248" s="78">
        <v>0</v>
      </c>
      <c r="D248" s="78">
        <f>B251/12</f>
        <v>23333.333333333332</v>
      </c>
      <c r="E248" s="78">
        <f>C251/6</f>
        <v>18784.166666666668</v>
      </c>
      <c r="F248" s="79">
        <f t="shared" si="12"/>
        <v>42117.5</v>
      </c>
      <c r="G248" s="79"/>
      <c r="H248" s="79">
        <f t="shared" si="13"/>
        <v>339.16666666666669</v>
      </c>
      <c r="I248" s="79">
        <f t="shared" si="14"/>
        <v>42456.666666666664</v>
      </c>
      <c r="K248" s="80">
        <f t="shared" si="15"/>
        <v>4070000</v>
      </c>
    </row>
    <row r="249" spans="1:11" ht="15" x14ac:dyDescent="0.25">
      <c r="A249" s="77">
        <v>47604</v>
      </c>
      <c r="B249" s="78">
        <v>0</v>
      </c>
      <c r="C249" s="78">
        <v>0</v>
      </c>
      <c r="D249" s="78">
        <f>B251/12</f>
        <v>23333.333333333332</v>
      </c>
      <c r="E249" s="78">
        <f>C251/6</f>
        <v>18784.166666666668</v>
      </c>
      <c r="F249" s="79">
        <f t="shared" si="12"/>
        <v>42117.5</v>
      </c>
      <c r="G249" s="79"/>
      <c r="H249" s="79">
        <f t="shared" si="13"/>
        <v>339.16666666666669</v>
      </c>
      <c r="I249" s="79">
        <f t="shared" si="14"/>
        <v>42456.666666666664</v>
      </c>
      <c r="K249" s="80">
        <f t="shared" si="15"/>
        <v>4070000</v>
      </c>
    </row>
    <row r="250" spans="1:11" ht="15" x14ac:dyDescent="0.25">
      <c r="A250" s="77">
        <v>47635</v>
      </c>
      <c r="B250" s="78">
        <v>0</v>
      </c>
      <c r="C250" s="78">
        <v>0</v>
      </c>
      <c r="D250" s="78">
        <f>B251/12</f>
        <v>23333.333333333332</v>
      </c>
      <c r="E250" s="78">
        <f>C251/6</f>
        <v>18784.166666666668</v>
      </c>
      <c r="F250" s="79">
        <f t="shared" si="12"/>
        <v>42117.5</v>
      </c>
      <c r="G250" s="79"/>
      <c r="H250" s="79">
        <f t="shared" si="13"/>
        <v>339.16666666666669</v>
      </c>
      <c r="I250" s="79">
        <f t="shared" si="14"/>
        <v>42456.666666666664</v>
      </c>
      <c r="K250" s="80">
        <f t="shared" si="15"/>
        <v>4070000</v>
      </c>
    </row>
    <row r="251" spans="1:11" ht="15" x14ac:dyDescent="0.25">
      <c r="A251" s="77">
        <v>47665</v>
      </c>
      <c r="B251" s="78">
        <v>280000</v>
      </c>
      <c r="C251" s="78">
        <v>112705</v>
      </c>
      <c r="D251" s="78">
        <f>B251/12</f>
        <v>23333.333333333332</v>
      </c>
      <c r="E251" s="78">
        <f>C251/6</f>
        <v>18784.166666666668</v>
      </c>
      <c r="F251" s="79">
        <f t="shared" si="12"/>
        <v>42117.5</v>
      </c>
      <c r="G251" s="79"/>
      <c r="H251" s="79">
        <f t="shared" si="13"/>
        <v>315.83333333333331</v>
      </c>
      <c r="I251" s="79">
        <f t="shared" si="14"/>
        <v>42433.333333333336</v>
      </c>
      <c r="J251" s="78">
        <f>SUM(F240:F251)</f>
        <v>505410</v>
      </c>
      <c r="K251" s="80">
        <f t="shared" si="15"/>
        <v>4070000</v>
      </c>
    </row>
    <row r="252" spans="1:11" ht="15" x14ac:dyDescent="0.25">
      <c r="A252" s="77">
        <v>47696</v>
      </c>
      <c r="B252" s="78">
        <v>0</v>
      </c>
      <c r="C252" s="78">
        <v>0</v>
      </c>
      <c r="D252" s="78">
        <f>B263/12</f>
        <v>24583.333333333332</v>
      </c>
      <c r="E252" s="78">
        <f>C257/6</f>
        <v>17477.5</v>
      </c>
      <c r="F252" s="79">
        <f t="shared" si="12"/>
        <v>42060.833333333328</v>
      </c>
      <c r="G252" s="79"/>
      <c r="H252" s="79">
        <f t="shared" si="13"/>
        <v>315.83333333333331</v>
      </c>
      <c r="I252" s="79">
        <f t="shared" si="14"/>
        <v>42376.666666666664</v>
      </c>
      <c r="K252" s="80">
        <f t="shared" si="15"/>
        <v>3790000</v>
      </c>
    </row>
    <row r="253" spans="1:11" ht="15" x14ac:dyDescent="0.25">
      <c r="A253" s="77">
        <v>47727</v>
      </c>
      <c r="B253" s="78">
        <v>0</v>
      </c>
      <c r="C253" s="78">
        <v>0</v>
      </c>
      <c r="D253" s="78">
        <f>B263/12</f>
        <v>24583.333333333332</v>
      </c>
      <c r="E253" s="78">
        <f>C257/6</f>
        <v>17477.5</v>
      </c>
      <c r="F253" s="79">
        <f t="shared" si="12"/>
        <v>42060.833333333328</v>
      </c>
      <c r="G253" s="79"/>
      <c r="H253" s="79">
        <f t="shared" si="13"/>
        <v>315.83333333333331</v>
      </c>
      <c r="I253" s="79">
        <f t="shared" si="14"/>
        <v>42376.666666666664</v>
      </c>
      <c r="K253" s="80">
        <f t="shared" si="15"/>
        <v>3790000</v>
      </c>
    </row>
    <row r="254" spans="1:11" ht="15" x14ac:dyDescent="0.25">
      <c r="A254" s="77">
        <v>47757</v>
      </c>
      <c r="B254" s="78">
        <v>0</v>
      </c>
      <c r="C254" s="78">
        <v>0</v>
      </c>
      <c r="D254" s="78">
        <f>B263/12</f>
        <v>24583.333333333332</v>
      </c>
      <c r="E254" s="78">
        <f>C257/6</f>
        <v>17477.5</v>
      </c>
      <c r="F254" s="79">
        <f t="shared" si="12"/>
        <v>42060.833333333328</v>
      </c>
      <c r="G254" s="79"/>
      <c r="H254" s="79">
        <f t="shared" si="13"/>
        <v>315.83333333333331</v>
      </c>
      <c r="I254" s="79">
        <f t="shared" si="14"/>
        <v>42376.666666666664</v>
      </c>
      <c r="K254" s="80">
        <f t="shared" si="15"/>
        <v>3790000</v>
      </c>
    </row>
    <row r="255" spans="1:11" ht="15" x14ac:dyDescent="0.25">
      <c r="A255" s="77">
        <v>47788</v>
      </c>
      <c r="B255" s="78">
        <v>0</v>
      </c>
      <c r="C255" s="78">
        <v>0</v>
      </c>
      <c r="D255" s="78">
        <f>B263/12</f>
        <v>24583.333333333332</v>
      </c>
      <c r="E255" s="78">
        <f>C257/6</f>
        <v>17477.5</v>
      </c>
      <c r="F255" s="79">
        <f t="shared" si="12"/>
        <v>42060.833333333328</v>
      </c>
      <c r="G255" s="79"/>
      <c r="H255" s="79">
        <f t="shared" si="13"/>
        <v>315.83333333333331</v>
      </c>
      <c r="I255" s="79">
        <f t="shared" si="14"/>
        <v>42376.666666666664</v>
      </c>
      <c r="K255" s="80">
        <f t="shared" si="15"/>
        <v>3790000</v>
      </c>
    </row>
    <row r="256" spans="1:11" ht="15" x14ac:dyDescent="0.25">
      <c r="A256" s="77">
        <v>47818</v>
      </c>
      <c r="B256" s="78">
        <v>0</v>
      </c>
      <c r="C256" s="78">
        <v>0</v>
      </c>
      <c r="D256" s="78">
        <f>B263/12</f>
        <v>24583.333333333332</v>
      </c>
      <c r="E256" s="78">
        <f>C257/6</f>
        <v>17477.5</v>
      </c>
      <c r="F256" s="79">
        <f t="shared" si="12"/>
        <v>42060.833333333328</v>
      </c>
      <c r="G256" s="79"/>
      <c r="H256" s="79">
        <f t="shared" si="13"/>
        <v>315.83333333333331</v>
      </c>
      <c r="I256" s="79">
        <f t="shared" si="14"/>
        <v>42376.666666666664</v>
      </c>
      <c r="K256" s="80">
        <f t="shared" si="15"/>
        <v>3790000</v>
      </c>
    </row>
    <row r="257" spans="1:11" ht="15" x14ac:dyDescent="0.25">
      <c r="A257" s="77">
        <v>47849</v>
      </c>
      <c r="B257" s="78">
        <v>0</v>
      </c>
      <c r="C257" s="78">
        <v>104865</v>
      </c>
      <c r="D257" s="78">
        <f>B263/12</f>
        <v>24583.333333333332</v>
      </c>
      <c r="E257" s="78">
        <f>C257/6</f>
        <v>17477.5</v>
      </c>
      <c r="F257" s="79">
        <f t="shared" si="12"/>
        <v>42060.833333333328</v>
      </c>
      <c r="G257" s="79"/>
      <c r="H257" s="79">
        <f t="shared" si="13"/>
        <v>315.83333333333331</v>
      </c>
      <c r="I257" s="79">
        <f t="shared" si="14"/>
        <v>42376.666666666664</v>
      </c>
      <c r="K257" s="80">
        <f t="shared" si="15"/>
        <v>3790000</v>
      </c>
    </row>
    <row r="258" spans="1:11" ht="15" x14ac:dyDescent="0.25">
      <c r="A258" s="77">
        <v>47880</v>
      </c>
      <c r="B258" s="78">
        <v>0</v>
      </c>
      <c r="C258" s="78">
        <v>0</v>
      </c>
      <c r="D258" s="78">
        <f>B263/12</f>
        <v>24583.333333333332</v>
      </c>
      <c r="E258" s="78">
        <f>C263/6</f>
        <v>17477.5</v>
      </c>
      <c r="F258" s="79">
        <f t="shared" si="12"/>
        <v>42060.833333333328</v>
      </c>
      <c r="G258" s="79"/>
      <c r="H258" s="79">
        <f t="shared" si="13"/>
        <v>315.83333333333331</v>
      </c>
      <c r="I258" s="79">
        <f t="shared" si="14"/>
        <v>42376.666666666664</v>
      </c>
      <c r="K258" s="80">
        <f t="shared" si="15"/>
        <v>3790000</v>
      </c>
    </row>
    <row r="259" spans="1:11" ht="15" x14ac:dyDescent="0.25">
      <c r="A259" s="77">
        <v>47908</v>
      </c>
      <c r="B259" s="78">
        <v>0</v>
      </c>
      <c r="C259" s="78">
        <v>0</v>
      </c>
      <c r="D259" s="78">
        <f>B263/12</f>
        <v>24583.333333333332</v>
      </c>
      <c r="E259" s="78">
        <f>C263/6</f>
        <v>17477.5</v>
      </c>
      <c r="F259" s="79">
        <f t="shared" si="12"/>
        <v>42060.833333333328</v>
      </c>
      <c r="G259" s="79"/>
      <c r="H259" s="79">
        <f t="shared" si="13"/>
        <v>315.83333333333331</v>
      </c>
      <c r="I259" s="79">
        <f t="shared" si="14"/>
        <v>42376.666666666664</v>
      </c>
      <c r="K259" s="80">
        <f t="shared" si="15"/>
        <v>3790000</v>
      </c>
    </row>
    <row r="260" spans="1:11" ht="15" x14ac:dyDescent="0.25">
      <c r="A260" s="77">
        <v>47939</v>
      </c>
      <c r="B260" s="78">
        <v>0</v>
      </c>
      <c r="C260" s="78">
        <v>0</v>
      </c>
      <c r="D260" s="78">
        <f>B263/12</f>
        <v>24583.333333333332</v>
      </c>
      <c r="E260" s="78">
        <f>C263/6</f>
        <v>17477.5</v>
      </c>
      <c r="F260" s="79">
        <f t="shared" si="12"/>
        <v>42060.833333333328</v>
      </c>
      <c r="G260" s="79"/>
      <c r="H260" s="79">
        <f t="shared" si="13"/>
        <v>315.83333333333331</v>
      </c>
      <c r="I260" s="79">
        <f t="shared" si="14"/>
        <v>42376.666666666664</v>
      </c>
      <c r="K260" s="80">
        <f t="shared" si="15"/>
        <v>3790000</v>
      </c>
    </row>
    <row r="261" spans="1:11" ht="15" x14ac:dyDescent="0.25">
      <c r="A261" s="77">
        <v>47969</v>
      </c>
      <c r="B261" s="78">
        <v>0</v>
      </c>
      <c r="C261" s="78">
        <v>0</v>
      </c>
      <c r="D261" s="78">
        <f>B263/12</f>
        <v>24583.333333333332</v>
      </c>
      <c r="E261" s="78">
        <f>C263/6</f>
        <v>17477.5</v>
      </c>
      <c r="F261" s="79">
        <f t="shared" si="12"/>
        <v>42060.833333333328</v>
      </c>
      <c r="G261" s="79"/>
      <c r="H261" s="79">
        <f t="shared" si="13"/>
        <v>315.83333333333331</v>
      </c>
      <c r="I261" s="79">
        <f t="shared" si="14"/>
        <v>42376.666666666664</v>
      </c>
      <c r="K261" s="80">
        <f t="shared" si="15"/>
        <v>3790000</v>
      </c>
    </row>
    <row r="262" spans="1:11" ht="15" x14ac:dyDescent="0.25">
      <c r="A262" s="77">
        <v>48000</v>
      </c>
      <c r="B262" s="78">
        <v>0</v>
      </c>
      <c r="C262" s="78">
        <v>0</v>
      </c>
      <c r="D262" s="78">
        <f>B263/12</f>
        <v>24583.333333333332</v>
      </c>
      <c r="E262" s="78">
        <f>C263/6</f>
        <v>17477.5</v>
      </c>
      <c r="F262" s="79">
        <f t="shared" si="12"/>
        <v>42060.833333333328</v>
      </c>
      <c r="G262" s="79"/>
      <c r="H262" s="79">
        <f t="shared" si="13"/>
        <v>315.83333333333331</v>
      </c>
      <c r="I262" s="79">
        <f t="shared" si="14"/>
        <v>42376.666666666664</v>
      </c>
      <c r="K262" s="80">
        <f t="shared" si="15"/>
        <v>3790000</v>
      </c>
    </row>
    <row r="263" spans="1:11" ht="15" x14ac:dyDescent="0.25">
      <c r="A263" s="77">
        <v>48030</v>
      </c>
      <c r="B263" s="78">
        <v>295000</v>
      </c>
      <c r="C263" s="78">
        <v>104865</v>
      </c>
      <c r="D263" s="78">
        <f>B263/12</f>
        <v>24583.333333333332</v>
      </c>
      <c r="E263" s="78">
        <f>C263/6</f>
        <v>17477.5</v>
      </c>
      <c r="F263" s="79">
        <f t="shared" si="12"/>
        <v>42060.833333333328</v>
      </c>
      <c r="G263" s="79"/>
      <c r="H263" s="79">
        <f t="shared" si="13"/>
        <v>291.25</v>
      </c>
      <c r="I263" s="79">
        <f t="shared" si="14"/>
        <v>42352.083333333328</v>
      </c>
      <c r="J263" s="78">
        <f>SUM(F252:F263)</f>
        <v>504729.99999999983</v>
      </c>
      <c r="K263" s="80">
        <f t="shared" si="15"/>
        <v>3790000</v>
      </c>
    </row>
    <row r="264" spans="1:11" ht="15" x14ac:dyDescent="0.25">
      <c r="A264" s="77">
        <v>48061</v>
      </c>
      <c r="B264" s="78">
        <v>0</v>
      </c>
      <c r="C264" s="78">
        <v>0</v>
      </c>
      <c r="D264" s="78">
        <f>B275/12</f>
        <v>25833.333333333332</v>
      </c>
      <c r="E264" s="78">
        <f>C269/6</f>
        <v>16100.833333333334</v>
      </c>
      <c r="F264" s="79">
        <f t="shared" ref="F264:F327" si="16">D264+E264</f>
        <v>41934.166666666664</v>
      </c>
      <c r="G264" s="79"/>
      <c r="H264" s="79">
        <f t="shared" si="13"/>
        <v>291.25</v>
      </c>
      <c r="I264" s="79">
        <f t="shared" si="14"/>
        <v>42225.416666666664</v>
      </c>
      <c r="K264" s="80">
        <f t="shared" si="15"/>
        <v>3495000</v>
      </c>
    </row>
    <row r="265" spans="1:11" ht="15" x14ac:dyDescent="0.25">
      <c r="A265" s="77">
        <v>48092</v>
      </c>
      <c r="B265" s="78">
        <v>0</v>
      </c>
      <c r="C265" s="78">
        <v>0</v>
      </c>
      <c r="D265" s="78">
        <f>B275/12</f>
        <v>25833.333333333332</v>
      </c>
      <c r="E265" s="78">
        <f>C269/6</f>
        <v>16100.833333333334</v>
      </c>
      <c r="F265" s="79">
        <f t="shared" si="16"/>
        <v>41934.166666666664</v>
      </c>
      <c r="G265" s="79"/>
      <c r="H265" s="79">
        <f t="shared" ref="H265:H328" si="17">+(K266*0.001)/12</f>
        <v>291.25</v>
      </c>
      <c r="I265" s="79">
        <f t="shared" ref="I265:I328" si="18">+F265+G265+H265</f>
        <v>42225.416666666664</v>
      </c>
      <c r="K265" s="80">
        <f t="shared" si="15"/>
        <v>3495000</v>
      </c>
    </row>
    <row r="266" spans="1:11" ht="15" x14ac:dyDescent="0.25">
      <c r="A266" s="77">
        <v>48122</v>
      </c>
      <c r="B266" s="78">
        <v>0</v>
      </c>
      <c r="C266" s="78">
        <v>0</v>
      </c>
      <c r="D266" s="78">
        <f>B275/12</f>
        <v>25833.333333333332</v>
      </c>
      <c r="E266" s="78">
        <f>C269/6</f>
        <v>16100.833333333334</v>
      </c>
      <c r="F266" s="79">
        <f t="shared" si="16"/>
        <v>41934.166666666664</v>
      </c>
      <c r="G266" s="79"/>
      <c r="H266" s="79">
        <f t="shared" si="17"/>
        <v>291.25</v>
      </c>
      <c r="I266" s="79">
        <f t="shared" si="18"/>
        <v>42225.416666666664</v>
      </c>
      <c r="K266" s="80">
        <f t="shared" ref="K266:K329" si="19">+K265-B265</f>
        <v>3495000</v>
      </c>
    </row>
    <row r="267" spans="1:11" ht="15" x14ac:dyDescent="0.25">
      <c r="A267" s="77">
        <v>48153</v>
      </c>
      <c r="B267" s="78">
        <v>0</v>
      </c>
      <c r="C267" s="78">
        <v>0</v>
      </c>
      <c r="D267" s="78">
        <f>B275/12</f>
        <v>25833.333333333332</v>
      </c>
      <c r="E267" s="78">
        <f>C269/6</f>
        <v>16100.833333333334</v>
      </c>
      <c r="F267" s="79">
        <f t="shared" si="16"/>
        <v>41934.166666666664</v>
      </c>
      <c r="G267" s="79"/>
      <c r="H267" s="79">
        <f t="shared" si="17"/>
        <v>291.25</v>
      </c>
      <c r="I267" s="79">
        <f t="shared" si="18"/>
        <v>42225.416666666664</v>
      </c>
      <c r="K267" s="80">
        <f t="shared" si="19"/>
        <v>3495000</v>
      </c>
    </row>
    <row r="268" spans="1:11" ht="15" x14ac:dyDescent="0.25">
      <c r="A268" s="77">
        <v>48183</v>
      </c>
      <c r="B268" s="78">
        <v>0</v>
      </c>
      <c r="C268" s="78">
        <v>0</v>
      </c>
      <c r="D268" s="78">
        <f>B275/12</f>
        <v>25833.333333333332</v>
      </c>
      <c r="E268" s="78">
        <f>C269/6</f>
        <v>16100.833333333334</v>
      </c>
      <c r="F268" s="79">
        <f t="shared" si="16"/>
        <v>41934.166666666664</v>
      </c>
      <c r="G268" s="79"/>
      <c r="H268" s="79">
        <f t="shared" si="17"/>
        <v>291.25</v>
      </c>
      <c r="I268" s="79">
        <f t="shared" si="18"/>
        <v>42225.416666666664</v>
      </c>
      <c r="K268" s="80">
        <f t="shared" si="19"/>
        <v>3495000</v>
      </c>
    </row>
    <row r="269" spans="1:11" ht="15" x14ac:dyDescent="0.25">
      <c r="A269" s="77">
        <v>48214</v>
      </c>
      <c r="B269" s="78">
        <v>0</v>
      </c>
      <c r="C269" s="78">
        <v>96605</v>
      </c>
      <c r="D269" s="78">
        <f>B275/12</f>
        <v>25833.333333333332</v>
      </c>
      <c r="E269" s="78">
        <f>C269/6</f>
        <v>16100.833333333334</v>
      </c>
      <c r="F269" s="79">
        <f t="shared" si="16"/>
        <v>41934.166666666664</v>
      </c>
      <c r="G269" s="79"/>
      <c r="H269" s="79">
        <f t="shared" si="17"/>
        <v>291.25</v>
      </c>
      <c r="I269" s="79">
        <f t="shared" si="18"/>
        <v>42225.416666666664</v>
      </c>
      <c r="K269" s="80">
        <f t="shared" si="19"/>
        <v>3495000</v>
      </c>
    </row>
    <row r="270" spans="1:11" ht="15" x14ac:dyDescent="0.25">
      <c r="A270" s="77">
        <v>48245</v>
      </c>
      <c r="B270" s="78">
        <v>0</v>
      </c>
      <c r="C270" s="78">
        <v>0</v>
      </c>
      <c r="D270" s="78">
        <f>B275/12</f>
        <v>25833.333333333332</v>
      </c>
      <c r="E270" s="78">
        <f>C275/6</f>
        <v>16100.833333333334</v>
      </c>
      <c r="F270" s="79">
        <f t="shared" si="16"/>
        <v>41934.166666666664</v>
      </c>
      <c r="G270" s="79"/>
      <c r="H270" s="79">
        <f t="shared" si="17"/>
        <v>291.25</v>
      </c>
      <c r="I270" s="79">
        <f t="shared" si="18"/>
        <v>42225.416666666664</v>
      </c>
      <c r="J270" s="81"/>
      <c r="K270" s="80">
        <f t="shared" si="19"/>
        <v>3495000</v>
      </c>
    </row>
    <row r="271" spans="1:11" ht="15" x14ac:dyDescent="0.25">
      <c r="A271" s="77">
        <v>48274</v>
      </c>
      <c r="B271" s="78">
        <v>0</v>
      </c>
      <c r="C271" s="78">
        <v>0</v>
      </c>
      <c r="D271" s="78">
        <f>B275/12</f>
        <v>25833.333333333332</v>
      </c>
      <c r="E271" s="78">
        <f>C275/6</f>
        <v>16100.833333333334</v>
      </c>
      <c r="F271" s="79">
        <f t="shared" si="16"/>
        <v>41934.166666666664</v>
      </c>
      <c r="G271" s="79"/>
      <c r="H271" s="79">
        <f t="shared" si="17"/>
        <v>291.25</v>
      </c>
      <c r="I271" s="79">
        <f t="shared" si="18"/>
        <v>42225.416666666664</v>
      </c>
      <c r="K271" s="80">
        <f t="shared" si="19"/>
        <v>3495000</v>
      </c>
    </row>
    <row r="272" spans="1:11" ht="15" x14ac:dyDescent="0.25">
      <c r="A272" s="77">
        <v>48305</v>
      </c>
      <c r="B272" s="78">
        <v>0</v>
      </c>
      <c r="C272" s="78">
        <v>0</v>
      </c>
      <c r="D272" s="78">
        <f>B275/12</f>
        <v>25833.333333333332</v>
      </c>
      <c r="E272" s="78">
        <f>C275/6</f>
        <v>16100.833333333334</v>
      </c>
      <c r="F272" s="79">
        <f t="shared" si="16"/>
        <v>41934.166666666664</v>
      </c>
      <c r="G272" s="79"/>
      <c r="H272" s="79">
        <f t="shared" si="17"/>
        <v>291.25</v>
      </c>
      <c r="I272" s="79">
        <f t="shared" si="18"/>
        <v>42225.416666666664</v>
      </c>
      <c r="K272" s="80">
        <f t="shared" si="19"/>
        <v>3495000</v>
      </c>
    </row>
    <row r="273" spans="1:11" ht="15" x14ac:dyDescent="0.25">
      <c r="A273" s="77">
        <v>48335</v>
      </c>
      <c r="B273" s="78">
        <v>0</v>
      </c>
      <c r="C273" s="78">
        <v>0</v>
      </c>
      <c r="D273" s="78">
        <f>B275/12</f>
        <v>25833.333333333332</v>
      </c>
      <c r="E273" s="78">
        <f>C275/6</f>
        <v>16100.833333333334</v>
      </c>
      <c r="F273" s="79">
        <f t="shared" si="16"/>
        <v>41934.166666666664</v>
      </c>
      <c r="G273" s="79"/>
      <c r="H273" s="79">
        <f t="shared" si="17"/>
        <v>291.25</v>
      </c>
      <c r="I273" s="79">
        <f t="shared" si="18"/>
        <v>42225.416666666664</v>
      </c>
      <c r="K273" s="80">
        <f t="shared" si="19"/>
        <v>3495000</v>
      </c>
    </row>
    <row r="274" spans="1:11" ht="15" x14ac:dyDescent="0.25">
      <c r="A274" s="77">
        <v>48366</v>
      </c>
      <c r="B274" s="78">
        <v>0</v>
      </c>
      <c r="C274" s="78">
        <v>0</v>
      </c>
      <c r="D274" s="78">
        <f>B275/12</f>
        <v>25833.333333333332</v>
      </c>
      <c r="E274" s="78">
        <f>C275/6</f>
        <v>16100.833333333334</v>
      </c>
      <c r="F274" s="79">
        <f t="shared" si="16"/>
        <v>41934.166666666664</v>
      </c>
      <c r="G274" s="79"/>
      <c r="H274" s="79">
        <f t="shared" si="17"/>
        <v>291.25</v>
      </c>
      <c r="I274" s="79">
        <f t="shared" si="18"/>
        <v>42225.416666666664</v>
      </c>
      <c r="K274" s="80">
        <f t="shared" si="19"/>
        <v>3495000</v>
      </c>
    </row>
    <row r="275" spans="1:11" ht="15" x14ac:dyDescent="0.25">
      <c r="A275" s="77">
        <v>48396</v>
      </c>
      <c r="B275" s="78">
        <v>310000</v>
      </c>
      <c r="C275" s="78">
        <v>96605</v>
      </c>
      <c r="D275" s="78">
        <f>B275/12</f>
        <v>25833.333333333332</v>
      </c>
      <c r="E275" s="78">
        <f>C275/6</f>
        <v>16100.833333333334</v>
      </c>
      <c r="F275" s="79">
        <f t="shared" si="16"/>
        <v>41934.166666666664</v>
      </c>
      <c r="G275" s="79"/>
      <c r="H275" s="79">
        <f t="shared" si="17"/>
        <v>265.41666666666669</v>
      </c>
      <c r="I275" s="79">
        <f t="shared" si="18"/>
        <v>42199.583333333328</v>
      </c>
      <c r="J275" s="78">
        <f>SUM(F264:F275)</f>
        <v>503210.00000000006</v>
      </c>
      <c r="K275" s="80">
        <f t="shared" si="19"/>
        <v>3495000</v>
      </c>
    </row>
    <row r="276" spans="1:11" ht="15" x14ac:dyDescent="0.25">
      <c r="A276" s="77">
        <v>48427</v>
      </c>
      <c r="B276" s="78">
        <v>0</v>
      </c>
      <c r="C276" s="78">
        <v>0</v>
      </c>
      <c r="D276" s="78">
        <f>B287/12</f>
        <v>27500</v>
      </c>
      <c r="E276" s="78">
        <f>C281/6</f>
        <v>14654.166666666666</v>
      </c>
      <c r="F276" s="79">
        <f t="shared" si="16"/>
        <v>42154.166666666664</v>
      </c>
      <c r="G276" s="79"/>
      <c r="H276" s="79">
        <f t="shared" si="17"/>
        <v>265.41666666666669</v>
      </c>
      <c r="I276" s="79">
        <f t="shared" si="18"/>
        <v>42419.583333333328</v>
      </c>
      <c r="K276" s="80">
        <f t="shared" si="19"/>
        <v>3185000</v>
      </c>
    </row>
    <row r="277" spans="1:11" ht="15" x14ac:dyDescent="0.25">
      <c r="A277" s="77">
        <v>48458</v>
      </c>
      <c r="B277" s="78">
        <v>0</v>
      </c>
      <c r="C277" s="78">
        <v>0</v>
      </c>
      <c r="D277" s="78">
        <f>B287/12</f>
        <v>27500</v>
      </c>
      <c r="E277" s="78">
        <f>C281/6</f>
        <v>14654.166666666666</v>
      </c>
      <c r="F277" s="79">
        <f t="shared" si="16"/>
        <v>42154.166666666664</v>
      </c>
      <c r="G277" s="79"/>
      <c r="H277" s="79">
        <f t="shared" si="17"/>
        <v>265.41666666666669</v>
      </c>
      <c r="I277" s="79">
        <f t="shared" si="18"/>
        <v>42419.583333333328</v>
      </c>
      <c r="K277" s="80">
        <f t="shared" si="19"/>
        <v>3185000</v>
      </c>
    </row>
    <row r="278" spans="1:11" ht="15" x14ac:dyDescent="0.25">
      <c r="A278" s="77">
        <v>48488</v>
      </c>
      <c r="B278" s="78">
        <v>0</v>
      </c>
      <c r="C278" s="78">
        <v>0</v>
      </c>
      <c r="D278" s="78">
        <f>B287/12</f>
        <v>27500</v>
      </c>
      <c r="E278" s="78">
        <f>C281/6</f>
        <v>14654.166666666666</v>
      </c>
      <c r="F278" s="79">
        <f t="shared" si="16"/>
        <v>42154.166666666664</v>
      </c>
      <c r="G278" s="79"/>
      <c r="H278" s="79">
        <f t="shared" si="17"/>
        <v>265.41666666666669</v>
      </c>
      <c r="I278" s="79">
        <f t="shared" si="18"/>
        <v>42419.583333333328</v>
      </c>
      <c r="K278" s="80">
        <f t="shared" si="19"/>
        <v>3185000</v>
      </c>
    </row>
    <row r="279" spans="1:11" ht="15" x14ac:dyDescent="0.25">
      <c r="A279" s="77">
        <v>48519</v>
      </c>
      <c r="B279" s="78">
        <v>0</v>
      </c>
      <c r="C279" s="78">
        <v>0</v>
      </c>
      <c r="D279" s="78">
        <f>B287/12</f>
        <v>27500</v>
      </c>
      <c r="E279" s="78">
        <f>C281/6</f>
        <v>14654.166666666666</v>
      </c>
      <c r="F279" s="79">
        <f t="shared" si="16"/>
        <v>42154.166666666664</v>
      </c>
      <c r="G279" s="79"/>
      <c r="H279" s="79">
        <f t="shared" si="17"/>
        <v>265.41666666666669</v>
      </c>
      <c r="I279" s="79">
        <f t="shared" si="18"/>
        <v>42419.583333333328</v>
      </c>
      <c r="K279" s="80">
        <f t="shared" si="19"/>
        <v>3185000</v>
      </c>
    </row>
    <row r="280" spans="1:11" ht="15" x14ac:dyDescent="0.25">
      <c r="A280" s="77">
        <v>48549</v>
      </c>
      <c r="B280" s="78">
        <v>0</v>
      </c>
      <c r="C280" s="78">
        <v>0</v>
      </c>
      <c r="D280" s="78">
        <f>B287/12</f>
        <v>27500</v>
      </c>
      <c r="E280" s="78">
        <f>C281/6</f>
        <v>14654.166666666666</v>
      </c>
      <c r="F280" s="79">
        <f t="shared" si="16"/>
        <v>42154.166666666664</v>
      </c>
      <c r="G280" s="79"/>
      <c r="H280" s="79">
        <f t="shared" si="17"/>
        <v>265.41666666666669</v>
      </c>
      <c r="I280" s="79">
        <f t="shared" si="18"/>
        <v>42419.583333333328</v>
      </c>
      <c r="K280" s="80">
        <f t="shared" si="19"/>
        <v>3185000</v>
      </c>
    </row>
    <row r="281" spans="1:11" ht="15" x14ac:dyDescent="0.25">
      <c r="A281" s="77">
        <v>48580</v>
      </c>
      <c r="B281" s="78">
        <v>0</v>
      </c>
      <c r="C281" s="78">
        <v>87925</v>
      </c>
      <c r="D281" s="78">
        <f>B287/12</f>
        <v>27500</v>
      </c>
      <c r="E281" s="78">
        <f>C281/6</f>
        <v>14654.166666666666</v>
      </c>
      <c r="F281" s="79">
        <f t="shared" si="16"/>
        <v>42154.166666666664</v>
      </c>
      <c r="G281" s="79"/>
      <c r="H281" s="79">
        <f t="shared" si="17"/>
        <v>265.41666666666669</v>
      </c>
      <c r="I281" s="79">
        <f t="shared" si="18"/>
        <v>42419.583333333328</v>
      </c>
      <c r="K281" s="80">
        <f t="shared" si="19"/>
        <v>3185000</v>
      </c>
    </row>
    <row r="282" spans="1:11" ht="15" x14ac:dyDescent="0.25">
      <c r="A282" s="77">
        <v>48611</v>
      </c>
      <c r="B282" s="78">
        <v>0</v>
      </c>
      <c r="C282" s="78">
        <v>0</v>
      </c>
      <c r="D282" s="78">
        <f>B287/12</f>
        <v>27500</v>
      </c>
      <c r="E282" s="78">
        <f>C287/6</f>
        <v>14654.166666666666</v>
      </c>
      <c r="F282" s="79">
        <f t="shared" si="16"/>
        <v>42154.166666666664</v>
      </c>
      <c r="G282" s="79"/>
      <c r="H282" s="79">
        <f t="shared" si="17"/>
        <v>265.41666666666669</v>
      </c>
      <c r="I282" s="79">
        <f t="shared" si="18"/>
        <v>42419.583333333328</v>
      </c>
      <c r="K282" s="80">
        <f t="shared" si="19"/>
        <v>3185000</v>
      </c>
    </row>
    <row r="283" spans="1:11" ht="15" x14ac:dyDescent="0.25">
      <c r="A283" s="77">
        <v>48639</v>
      </c>
      <c r="B283" s="78">
        <v>0</v>
      </c>
      <c r="C283" s="78">
        <v>0</v>
      </c>
      <c r="D283" s="78">
        <f>B287/12</f>
        <v>27500</v>
      </c>
      <c r="E283" s="78">
        <f>C287/6</f>
        <v>14654.166666666666</v>
      </c>
      <c r="F283" s="79">
        <f t="shared" si="16"/>
        <v>42154.166666666664</v>
      </c>
      <c r="G283" s="79"/>
      <c r="H283" s="79">
        <f t="shared" si="17"/>
        <v>265.41666666666669</v>
      </c>
      <c r="I283" s="79">
        <f t="shared" si="18"/>
        <v>42419.583333333328</v>
      </c>
      <c r="K283" s="80">
        <f t="shared" si="19"/>
        <v>3185000</v>
      </c>
    </row>
    <row r="284" spans="1:11" ht="15" x14ac:dyDescent="0.25">
      <c r="A284" s="77">
        <v>48670</v>
      </c>
      <c r="B284" s="78">
        <v>0</v>
      </c>
      <c r="C284" s="78">
        <v>0</v>
      </c>
      <c r="D284" s="78">
        <f>B287/12</f>
        <v>27500</v>
      </c>
      <c r="E284" s="78">
        <f>C287/6</f>
        <v>14654.166666666666</v>
      </c>
      <c r="F284" s="79">
        <f t="shared" si="16"/>
        <v>42154.166666666664</v>
      </c>
      <c r="G284" s="79"/>
      <c r="H284" s="79">
        <f t="shared" si="17"/>
        <v>265.41666666666669</v>
      </c>
      <c r="I284" s="79">
        <f t="shared" si="18"/>
        <v>42419.583333333328</v>
      </c>
      <c r="K284" s="80">
        <f t="shared" si="19"/>
        <v>3185000</v>
      </c>
    </row>
    <row r="285" spans="1:11" ht="15" x14ac:dyDescent="0.25">
      <c r="A285" s="77">
        <v>48700</v>
      </c>
      <c r="B285" s="78">
        <v>0</v>
      </c>
      <c r="C285" s="78">
        <v>0</v>
      </c>
      <c r="D285" s="78">
        <f>B287/12</f>
        <v>27500</v>
      </c>
      <c r="E285" s="78">
        <f>C287/6</f>
        <v>14654.166666666666</v>
      </c>
      <c r="F285" s="79">
        <f t="shared" si="16"/>
        <v>42154.166666666664</v>
      </c>
      <c r="G285" s="79"/>
      <c r="H285" s="79">
        <f t="shared" si="17"/>
        <v>265.41666666666669</v>
      </c>
      <c r="I285" s="79">
        <f t="shared" si="18"/>
        <v>42419.583333333328</v>
      </c>
      <c r="K285" s="80">
        <f t="shared" si="19"/>
        <v>3185000</v>
      </c>
    </row>
    <row r="286" spans="1:11" ht="15" x14ac:dyDescent="0.25">
      <c r="A286" s="77">
        <v>48731</v>
      </c>
      <c r="B286" s="78">
        <v>0</v>
      </c>
      <c r="C286" s="78">
        <v>0</v>
      </c>
      <c r="D286" s="78">
        <f>B287/12</f>
        <v>27500</v>
      </c>
      <c r="E286" s="78">
        <f>C287/6</f>
        <v>14654.166666666666</v>
      </c>
      <c r="F286" s="79">
        <f t="shared" si="16"/>
        <v>42154.166666666664</v>
      </c>
      <c r="G286" s="79"/>
      <c r="H286" s="79">
        <f t="shared" si="17"/>
        <v>265.41666666666669</v>
      </c>
      <c r="I286" s="79">
        <f t="shared" si="18"/>
        <v>42419.583333333328</v>
      </c>
      <c r="K286" s="80">
        <f t="shared" si="19"/>
        <v>3185000</v>
      </c>
    </row>
    <row r="287" spans="1:11" ht="15" x14ac:dyDescent="0.25">
      <c r="A287" s="77">
        <v>48761</v>
      </c>
      <c r="B287" s="78">
        <v>330000</v>
      </c>
      <c r="C287" s="78">
        <v>87925</v>
      </c>
      <c r="D287" s="78">
        <f>B287/12</f>
        <v>27500</v>
      </c>
      <c r="E287" s="78">
        <f>C287/6</f>
        <v>14654.166666666666</v>
      </c>
      <c r="F287" s="79">
        <f t="shared" si="16"/>
        <v>42154.166666666664</v>
      </c>
      <c r="G287" s="79"/>
      <c r="H287" s="79">
        <f t="shared" si="17"/>
        <v>237.91666666666666</v>
      </c>
      <c r="I287" s="79">
        <f t="shared" si="18"/>
        <v>42392.083333333328</v>
      </c>
      <c r="J287" s="78">
        <f>SUM(F276:F287)</f>
        <v>505850.00000000006</v>
      </c>
      <c r="K287" s="80">
        <f t="shared" si="19"/>
        <v>3185000</v>
      </c>
    </row>
    <row r="288" spans="1:11" ht="15" x14ac:dyDescent="0.25">
      <c r="A288" s="77">
        <v>48792</v>
      </c>
      <c r="B288" s="78">
        <v>0</v>
      </c>
      <c r="C288" s="78">
        <v>0</v>
      </c>
      <c r="D288" s="78">
        <f>B299/12</f>
        <v>28750</v>
      </c>
      <c r="E288" s="78">
        <f>C293/6</f>
        <v>13114.166666666666</v>
      </c>
      <c r="F288" s="79">
        <f t="shared" si="16"/>
        <v>41864.166666666664</v>
      </c>
      <c r="G288" s="79"/>
      <c r="H288" s="79">
        <f t="shared" si="17"/>
        <v>237.91666666666666</v>
      </c>
      <c r="I288" s="79">
        <f t="shared" si="18"/>
        <v>42102.083333333328</v>
      </c>
      <c r="K288" s="80">
        <f t="shared" si="19"/>
        <v>2855000</v>
      </c>
    </row>
    <row r="289" spans="1:11" ht="15" x14ac:dyDescent="0.25">
      <c r="A289" s="77">
        <v>48823</v>
      </c>
      <c r="B289" s="78">
        <v>0</v>
      </c>
      <c r="C289" s="78">
        <v>0</v>
      </c>
      <c r="D289" s="78">
        <f>B299/12</f>
        <v>28750</v>
      </c>
      <c r="E289" s="78">
        <f>C293/6</f>
        <v>13114.166666666666</v>
      </c>
      <c r="F289" s="79">
        <f t="shared" si="16"/>
        <v>41864.166666666664</v>
      </c>
      <c r="G289" s="79"/>
      <c r="H289" s="79">
        <f t="shared" si="17"/>
        <v>237.91666666666666</v>
      </c>
      <c r="I289" s="79">
        <f t="shared" si="18"/>
        <v>42102.083333333328</v>
      </c>
      <c r="K289" s="80">
        <f t="shared" si="19"/>
        <v>2855000</v>
      </c>
    </row>
    <row r="290" spans="1:11" ht="15" x14ac:dyDescent="0.25">
      <c r="A290" s="77">
        <v>48853</v>
      </c>
      <c r="B290" s="78">
        <v>0</v>
      </c>
      <c r="C290" s="78">
        <v>0</v>
      </c>
      <c r="D290" s="78">
        <f>B299/12</f>
        <v>28750</v>
      </c>
      <c r="E290" s="78">
        <f>C293/6</f>
        <v>13114.166666666666</v>
      </c>
      <c r="F290" s="79">
        <f t="shared" si="16"/>
        <v>41864.166666666664</v>
      </c>
      <c r="G290" s="79"/>
      <c r="H290" s="79">
        <f t="shared" si="17"/>
        <v>237.91666666666666</v>
      </c>
      <c r="I290" s="79">
        <f t="shared" si="18"/>
        <v>42102.083333333328</v>
      </c>
      <c r="K290" s="80">
        <f t="shared" si="19"/>
        <v>2855000</v>
      </c>
    </row>
    <row r="291" spans="1:11" ht="15" x14ac:dyDescent="0.25">
      <c r="A291" s="77">
        <v>48884</v>
      </c>
      <c r="B291" s="78">
        <v>0</v>
      </c>
      <c r="C291" s="78">
        <v>0</v>
      </c>
      <c r="D291" s="78">
        <f>B299/12</f>
        <v>28750</v>
      </c>
      <c r="E291" s="78">
        <f>C293/6</f>
        <v>13114.166666666666</v>
      </c>
      <c r="F291" s="79">
        <f t="shared" si="16"/>
        <v>41864.166666666664</v>
      </c>
      <c r="G291" s="79"/>
      <c r="H291" s="79">
        <f t="shared" si="17"/>
        <v>237.91666666666666</v>
      </c>
      <c r="I291" s="79">
        <f t="shared" si="18"/>
        <v>42102.083333333328</v>
      </c>
      <c r="K291" s="80">
        <f t="shared" si="19"/>
        <v>2855000</v>
      </c>
    </row>
    <row r="292" spans="1:11" ht="15" x14ac:dyDescent="0.25">
      <c r="A292" s="77">
        <v>48914</v>
      </c>
      <c r="B292" s="78">
        <v>0</v>
      </c>
      <c r="C292" s="78">
        <v>0</v>
      </c>
      <c r="D292" s="78">
        <f>B299/12</f>
        <v>28750</v>
      </c>
      <c r="E292" s="78">
        <f>C293/6</f>
        <v>13114.166666666666</v>
      </c>
      <c r="F292" s="79">
        <f t="shared" si="16"/>
        <v>41864.166666666664</v>
      </c>
      <c r="G292" s="79"/>
      <c r="H292" s="79">
        <f t="shared" si="17"/>
        <v>237.91666666666666</v>
      </c>
      <c r="I292" s="79">
        <f t="shared" si="18"/>
        <v>42102.083333333328</v>
      </c>
      <c r="K292" s="80">
        <f t="shared" si="19"/>
        <v>2855000</v>
      </c>
    </row>
    <row r="293" spans="1:11" ht="15" x14ac:dyDescent="0.25">
      <c r="A293" s="77">
        <v>48945</v>
      </c>
      <c r="B293" s="78">
        <v>0</v>
      </c>
      <c r="C293" s="78">
        <v>78685</v>
      </c>
      <c r="D293" s="78">
        <f>B299/12</f>
        <v>28750</v>
      </c>
      <c r="E293" s="78">
        <f>C293/6</f>
        <v>13114.166666666666</v>
      </c>
      <c r="F293" s="79">
        <f t="shared" si="16"/>
        <v>41864.166666666664</v>
      </c>
      <c r="G293" s="79"/>
      <c r="H293" s="79">
        <f t="shared" si="17"/>
        <v>237.91666666666666</v>
      </c>
      <c r="I293" s="79">
        <f t="shared" si="18"/>
        <v>42102.083333333328</v>
      </c>
      <c r="K293" s="80">
        <f t="shared" si="19"/>
        <v>2855000</v>
      </c>
    </row>
    <row r="294" spans="1:11" ht="15" x14ac:dyDescent="0.25">
      <c r="A294" s="77">
        <v>48976</v>
      </c>
      <c r="B294" s="78">
        <v>0</v>
      </c>
      <c r="C294" s="78">
        <v>0</v>
      </c>
      <c r="D294" s="78">
        <f>B299/12</f>
        <v>28750</v>
      </c>
      <c r="E294" s="78">
        <f>C299/6</f>
        <v>13114.166666666666</v>
      </c>
      <c r="F294" s="79">
        <f t="shared" si="16"/>
        <v>41864.166666666664</v>
      </c>
      <c r="G294" s="79"/>
      <c r="H294" s="79">
        <f t="shared" si="17"/>
        <v>237.91666666666666</v>
      </c>
      <c r="I294" s="79">
        <f t="shared" si="18"/>
        <v>42102.083333333328</v>
      </c>
      <c r="J294" s="81"/>
      <c r="K294" s="80">
        <f t="shared" si="19"/>
        <v>2855000</v>
      </c>
    </row>
    <row r="295" spans="1:11" ht="15" x14ac:dyDescent="0.25">
      <c r="A295" s="77">
        <v>49004</v>
      </c>
      <c r="B295" s="78">
        <v>0</v>
      </c>
      <c r="C295" s="78">
        <v>0</v>
      </c>
      <c r="D295" s="78">
        <f>B299/12</f>
        <v>28750</v>
      </c>
      <c r="E295" s="78">
        <f>C299/6</f>
        <v>13114.166666666666</v>
      </c>
      <c r="F295" s="79">
        <f t="shared" si="16"/>
        <v>41864.166666666664</v>
      </c>
      <c r="G295" s="79"/>
      <c r="H295" s="79">
        <f t="shared" si="17"/>
        <v>237.91666666666666</v>
      </c>
      <c r="I295" s="79">
        <f t="shared" si="18"/>
        <v>42102.083333333328</v>
      </c>
      <c r="K295" s="80">
        <f t="shared" si="19"/>
        <v>2855000</v>
      </c>
    </row>
    <row r="296" spans="1:11" ht="15" x14ac:dyDescent="0.25">
      <c r="A296" s="77">
        <v>49035</v>
      </c>
      <c r="B296" s="78">
        <v>0</v>
      </c>
      <c r="C296" s="78">
        <v>0</v>
      </c>
      <c r="D296" s="78">
        <f>B299/12</f>
        <v>28750</v>
      </c>
      <c r="E296" s="78">
        <f>C299/6</f>
        <v>13114.166666666666</v>
      </c>
      <c r="F296" s="79">
        <f t="shared" si="16"/>
        <v>41864.166666666664</v>
      </c>
      <c r="G296" s="79"/>
      <c r="H296" s="79">
        <f t="shared" si="17"/>
        <v>237.91666666666666</v>
      </c>
      <c r="I296" s="79">
        <f t="shared" si="18"/>
        <v>42102.083333333328</v>
      </c>
      <c r="K296" s="80">
        <f t="shared" si="19"/>
        <v>2855000</v>
      </c>
    </row>
    <row r="297" spans="1:11" ht="15" x14ac:dyDescent="0.25">
      <c r="A297" s="77">
        <v>49065</v>
      </c>
      <c r="B297" s="78">
        <v>0</v>
      </c>
      <c r="C297" s="78">
        <v>0</v>
      </c>
      <c r="D297" s="78">
        <f>B299/12</f>
        <v>28750</v>
      </c>
      <c r="E297" s="78">
        <f>C299/6</f>
        <v>13114.166666666666</v>
      </c>
      <c r="F297" s="79">
        <f t="shared" si="16"/>
        <v>41864.166666666664</v>
      </c>
      <c r="G297" s="79"/>
      <c r="H297" s="79">
        <f t="shared" si="17"/>
        <v>237.91666666666666</v>
      </c>
      <c r="I297" s="79">
        <f t="shared" si="18"/>
        <v>42102.083333333328</v>
      </c>
      <c r="K297" s="80">
        <f t="shared" si="19"/>
        <v>2855000</v>
      </c>
    </row>
    <row r="298" spans="1:11" ht="15" x14ac:dyDescent="0.25">
      <c r="A298" s="77">
        <v>49096</v>
      </c>
      <c r="B298" s="78">
        <v>0</v>
      </c>
      <c r="C298" s="78">
        <v>0</v>
      </c>
      <c r="D298" s="78">
        <f>B299/12</f>
        <v>28750</v>
      </c>
      <c r="E298" s="78">
        <f>C299/6</f>
        <v>13114.166666666666</v>
      </c>
      <c r="F298" s="79">
        <f t="shared" si="16"/>
        <v>41864.166666666664</v>
      </c>
      <c r="G298" s="79"/>
      <c r="H298" s="79">
        <f t="shared" si="17"/>
        <v>237.91666666666666</v>
      </c>
      <c r="I298" s="79">
        <f t="shared" si="18"/>
        <v>42102.083333333328</v>
      </c>
      <c r="K298" s="80">
        <f t="shared" si="19"/>
        <v>2855000</v>
      </c>
    </row>
    <row r="299" spans="1:11" ht="15" x14ac:dyDescent="0.25">
      <c r="A299" s="77">
        <v>49126</v>
      </c>
      <c r="B299" s="78">
        <v>345000</v>
      </c>
      <c r="C299" s="78">
        <v>78685</v>
      </c>
      <c r="D299" s="78">
        <f>B299/12</f>
        <v>28750</v>
      </c>
      <c r="E299" s="78">
        <f>C299/6</f>
        <v>13114.166666666666</v>
      </c>
      <c r="F299" s="79">
        <f t="shared" si="16"/>
        <v>41864.166666666664</v>
      </c>
      <c r="G299" s="79"/>
      <c r="H299" s="79">
        <f t="shared" si="17"/>
        <v>209.16666666666666</v>
      </c>
      <c r="I299" s="79">
        <f t="shared" si="18"/>
        <v>42073.333333333328</v>
      </c>
      <c r="J299" s="78">
        <f>SUM(F288:F299)</f>
        <v>502370.00000000006</v>
      </c>
      <c r="K299" s="80">
        <f t="shared" si="19"/>
        <v>2855000</v>
      </c>
    </row>
    <row r="300" spans="1:11" ht="15" x14ac:dyDescent="0.25">
      <c r="A300" s="77">
        <v>49157</v>
      </c>
      <c r="B300" s="78">
        <v>0</v>
      </c>
      <c r="C300" s="78">
        <v>0</v>
      </c>
      <c r="D300" s="78">
        <f>B311/12</f>
        <v>30416.666666666668</v>
      </c>
      <c r="E300" s="78">
        <f>C305/6</f>
        <v>11504.166666666666</v>
      </c>
      <c r="F300" s="79">
        <f t="shared" si="16"/>
        <v>41920.833333333336</v>
      </c>
      <c r="G300" s="79"/>
      <c r="H300" s="79">
        <f t="shared" si="17"/>
        <v>209.16666666666666</v>
      </c>
      <c r="I300" s="79">
        <f t="shared" si="18"/>
        <v>42130</v>
      </c>
      <c r="K300" s="80">
        <f t="shared" si="19"/>
        <v>2510000</v>
      </c>
    </row>
    <row r="301" spans="1:11" ht="15" x14ac:dyDescent="0.25">
      <c r="A301" s="77">
        <v>49188</v>
      </c>
      <c r="B301" s="78">
        <v>0</v>
      </c>
      <c r="C301" s="78">
        <v>0</v>
      </c>
      <c r="D301" s="78">
        <f>B311/12</f>
        <v>30416.666666666668</v>
      </c>
      <c r="E301" s="78">
        <f>C305/6</f>
        <v>11504.166666666666</v>
      </c>
      <c r="F301" s="79">
        <f t="shared" si="16"/>
        <v>41920.833333333336</v>
      </c>
      <c r="G301" s="79"/>
      <c r="H301" s="79">
        <f t="shared" si="17"/>
        <v>209.16666666666666</v>
      </c>
      <c r="I301" s="79">
        <f t="shared" si="18"/>
        <v>42130</v>
      </c>
      <c r="K301" s="80">
        <f t="shared" si="19"/>
        <v>2510000</v>
      </c>
    </row>
    <row r="302" spans="1:11" ht="15" x14ac:dyDescent="0.25">
      <c r="A302" s="77">
        <v>49218</v>
      </c>
      <c r="B302" s="78">
        <v>0</v>
      </c>
      <c r="C302" s="78">
        <v>0</v>
      </c>
      <c r="D302" s="78">
        <f>B311/12</f>
        <v>30416.666666666668</v>
      </c>
      <c r="E302" s="78">
        <f>C305/6</f>
        <v>11504.166666666666</v>
      </c>
      <c r="F302" s="79">
        <f t="shared" si="16"/>
        <v>41920.833333333336</v>
      </c>
      <c r="G302" s="79"/>
      <c r="H302" s="79">
        <f t="shared" si="17"/>
        <v>209.16666666666666</v>
      </c>
      <c r="I302" s="79">
        <f t="shared" si="18"/>
        <v>42130</v>
      </c>
      <c r="K302" s="80">
        <f t="shared" si="19"/>
        <v>2510000</v>
      </c>
    </row>
    <row r="303" spans="1:11" ht="15" x14ac:dyDescent="0.25">
      <c r="A303" s="77">
        <v>49249</v>
      </c>
      <c r="B303" s="78">
        <v>0</v>
      </c>
      <c r="C303" s="78">
        <v>0</v>
      </c>
      <c r="D303" s="78">
        <f>B311/12</f>
        <v>30416.666666666668</v>
      </c>
      <c r="E303" s="78">
        <f>C305/6</f>
        <v>11504.166666666666</v>
      </c>
      <c r="F303" s="79">
        <f t="shared" si="16"/>
        <v>41920.833333333336</v>
      </c>
      <c r="G303" s="79"/>
      <c r="H303" s="79">
        <f t="shared" si="17"/>
        <v>209.16666666666666</v>
      </c>
      <c r="I303" s="79">
        <f t="shared" si="18"/>
        <v>42130</v>
      </c>
      <c r="K303" s="80">
        <f t="shared" si="19"/>
        <v>2510000</v>
      </c>
    </row>
    <row r="304" spans="1:11" ht="15" x14ac:dyDescent="0.25">
      <c r="A304" s="77">
        <v>49279</v>
      </c>
      <c r="B304" s="78">
        <v>0</v>
      </c>
      <c r="C304" s="78">
        <v>0</v>
      </c>
      <c r="D304" s="78">
        <f>B311/12</f>
        <v>30416.666666666668</v>
      </c>
      <c r="E304" s="78">
        <f>C305/6</f>
        <v>11504.166666666666</v>
      </c>
      <c r="F304" s="79">
        <f t="shared" si="16"/>
        <v>41920.833333333336</v>
      </c>
      <c r="G304" s="79"/>
      <c r="H304" s="79">
        <f t="shared" si="17"/>
        <v>209.16666666666666</v>
      </c>
      <c r="I304" s="79">
        <f t="shared" si="18"/>
        <v>42130</v>
      </c>
      <c r="K304" s="80">
        <f t="shared" si="19"/>
        <v>2510000</v>
      </c>
    </row>
    <row r="305" spans="1:11" ht="15" x14ac:dyDescent="0.25">
      <c r="A305" s="77">
        <v>49310</v>
      </c>
      <c r="B305" s="78">
        <v>0</v>
      </c>
      <c r="C305" s="78">
        <v>69025</v>
      </c>
      <c r="D305" s="78">
        <f>B311/12</f>
        <v>30416.666666666668</v>
      </c>
      <c r="E305" s="78">
        <f>C305/6</f>
        <v>11504.166666666666</v>
      </c>
      <c r="F305" s="79">
        <f t="shared" si="16"/>
        <v>41920.833333333336</v>
      </c>
      <c r="G305" s="79"/>
      <c r="H305" s="79">
        <f t="shared" si="17"/>
        <v>209.16666666666666</v>
      </c>
      <c r="I305" s="79">
        <f t="shared" si="18"/>
        <v>42130</v>
      </c>
      <c r="K305" s="80">
        <f t="shared" si="19"/>
        <v>2510000</v>
      </c>
    </row>
    <row r="306" spans="1:11" ht="15" x14ac:dyDescent="0.25">
      <c r="A306" s="77">
        <v>49341</v>
      </c>
      <c r="B306" s="78">
        <v>0</v>
      </c>
      <c r="C306" s="78">
        <v>0</v>
      </c>
      <c r="D306" s="78">
        <f>B311/12</f>
        <v>30416.666666666668</v>
      </c>
      <c r="E306" s="78">
        <f>C311/6</f>
        <v>11504.166666666666</v>
      </c>
      <c r="F306" s="79">
        <f t="shared" si="16"/>
        <v>41920.833333333336</v>
      </c>
      <c r="G306" s="79"/>
      <c r="H306" s="79">
        <f t="shared" si="17"/>
        <v>209.16666666666666</v>
      </c>
      <c r="I306" s="79">
        <f t="shared" si="18"/>
        <v>42130</v>
      </c>
      <c r="K306" s="80">
        <f t="shared" si="19"/>
        <v>2510000</v>
      </c>
    </row>
    <row r="307" spans="1:11" ht="15" x14ac:dyDescent="0.25">
      <c r="A307" s="77">
        <v>49369</v>
      </c>
      <c r="B307" s="78">
        <v>0</v>
      </c>
      <c r="C307" s="78">
        <v>0</v>
      </c>
      <c r="D307" s="78">
        <f>B311/12</f>
        <v>30416.666666666668</v>
      </c>
      <c r="E307" s="78">
        <f>C311/6</f>
        <v>11504.166666666666</v>
      </c>
      <c r="F307" s="79">
        <f t="shared" si="16"/>
        <v>41920.833333333336</v>
      </c>
      <c r="G307" s="79"/>
      <c r="H307" s="79">
        <f t="shared" si="17"/>
        <v>209.16666666666666</v>
      </c>
      <c r="I307" s="79">
        <f t="shared" si="18"/>
        <v>42130</v>
      </c>
      <c r="K307" s="80">
        <f t="shared" si="19"/>
        <v>2510000</v>
      </c>
    </row>
    <row r="308" spans="1:11" ht="15" x14ac:dyDescent="0.25">
      <c r="A308" s="77">
        <v>49400</v>
      </c>
      <c r="B308" s="78">
        <v>0</v>
      </c>
      <c r="C308" s="78">
        <v>0</v>
      </c>
      <c r="D308" s="78">
        <f>B311/12</f>
        <v>30416.666666666668</v>
      </c>
      <c r="E308" s="78">
        <f>C311/6</f>
        <v>11504.166666666666</v>
      </c>
      <c r="F308" s="79">
        <f t="shared" si="16"/>
        <v>41920.833333333336</v>
      </c>
      <c r="G308" s="79"/>
      <c r="H308" s="79">
        <f t="shared" si="17"/>
        <v>209.16666666666666</v>
      </c>
      <c r="I308" s="79">
        <f t="shared" si="18"/>
        <v>42130</v>
      </c>
      <c r="K308" s="80">
        <f t="shared" si="19"/>
        <v>2510000</v>
      </c>
    </row>
    <row r="309" spans="1:11" ht="15" x14ac:dyDescent="0.25">
      <c r="A309" s="77">
        <v>49430</v>
      </c>
      <c r="B309" s="78">
        <v>0</v>
      </c>
      <c r="C309" s="78">
        <v>0</v>
      </c>
      <c r="D309" s="78">
        <f>B311/12</f>
        <v>30416.666666666668</v>
      </c>
      <c r="E309" s="78">
        <f>C311/6</f>
        <v>11504.166666666666</v>
      </c>
      <c r="F309" s="79">
        <f t="shared" si="16"/>
        <v>41920.833333333336</v>
      </c>
      <c r="G309" s="79"/>
      <c r="H309" s="79">
        <f t="shared" si="17"/>
        <v>209.16666666666666</v>
      </c>
      <c r="I309" s="79">
        <f t="shared" si="18"/>
        <v>42130</v>
      </c>
      <c r="K309" s="80">
        <f t="shared" si="19"/>
        <v>2510000</v>
      </c>
    </row>
    <row r="310" spans="1:11" ht="15" x14ac:dyDescent="0.25">
      <c r="A310" s="77">
        <v>49461</v>
      </c>
      <c r="B310" s="78">
        <v>0</v>
      </c>
      <c r="C310" s="78">
        <v>0</v>
      </c>
      <c r="D310" s="78">
        <f>B311/12</f>
        <v>30416.666666666668</v>
      </c>
      <c r="E310" s="78">
        <f>C311/6</f>
        <v>11504.166666666666</v>
      </c>
      <c r="F310" s="79">
        <f t="shared" si="16"/>
        <v>41920.833333333336</v>
      </c>
      <c r="G310" s="79"/>
      <c r="H310" s="79">
        <f t="shared" si="17"/>
        <v>209.16666666666666</v>
      </c>
      <c r="I310" s="79">
        <f t="shared" si="18"/>
        <v>42130</v>
      </c>
      <c r="K310" s="80">
        <f t="shared" si="19"/>
        <v>2510000</v>
      </c>
    </row>
    <row r="311" spans="1:11" ht="15" x14ac:dyDescent="0.25">
      <c r="A311" s="77">
        <v>49491</v>
      </c>
      <c r="B311" s="78">
        <v>365000</v>
      </c>
      <c r="C311" s="78">
        <v>69025</v>
      </c>
      <c r="D311" s="78">
        <f>B311/12</f>
        <v>30416.666666666668</v>
      </c>
      <c r="E311" s="78">
        <f>C311/6</f>
        <v>11504.166666666666</v>
      </c>
      <c r="F311" s="79">
        <f t="shared" si="16"/>
        <v>41920.833333333336</v>
      </c>
      <c r="G311" s="79"/>
      <c r="H311" s="79">
        <f t="shared" si="17"/>
        <v>178.75</v>
      </c>
      <c r="I311" s="79">
        <f t="shared" si="18"/>
        <v>42099.583333333336</v>
      </c>
      <c r="J311" s="78">
        <f>SUM(F300:F311)</f>
        <v>503049.99999999994</v>
      </c>
      <c r="K311" s="80">
        <f t="shared" si="19"/>
        <v>2510000</v>
      </c>
    </row>
    <row r="312" spans="1:11" ht="15" x14ac:dyDescent="0.25">
      <c r="A312" s="77">
        <v>49522</v>
      </c>
      <c r="B312" s="78">
        <v>0</v>
      </c>
      <c r="C312" s="78">
        <v>0</v>
      </c>
      <c r="D312" s="78">
        <f>B323/12</f>
        <v>32083.333333333332</v>
      </c>
      <c r="E312" s="78">
        <f>C317/6</f>
        <v>9831.25</v>
      </c>
      <c r="F312" s="79">
        <f t="shared" si="16"/>
        <v>41914.583333333328</v>
      </c>
      <c r="G312" s="79"/>
      <c r="H312" s="79">
        <f t="shared" si="17"/>
        <v>178.75</v>
      </c>
      <c r="I312" s="79">
        <f t="shared" si="18"/>
        <v>42093.333333333328</v>
      </c>
      <c r="K312" s="80">
        <f t="shared" si="19"/>
        <v>2145000</v>
      </c>
    </row>
    <row r="313" spans="1:11" ht="15" x14ac:dyDescent="0.25">
      <c r="A313" s="77">
        <v>49553</v>
      </c>
      <c r="B313" s="78">
        <v>0</v>
      </c>
      <c r="C313" s="78">
        <v>0</v>
      </c>
      <c r="D313" s="78">
        <f>B323/12</f>
        <v>32083.333333333332</v>
      </c>
      <c r="E313" s="78">
        <f>C317/6</f>
        <v>9831.25</v>
      </c>
      <c r="F313" s="79">
        <f t="shared" si="16"/>
        <v>41914.583333333328</v>
      </c>
      <c r="G313" s="79"/>
      <c r="H313" s="79">
        <f t="shared" si="17"/>
        <v>178.75</v>
      </c>
      <c r="I313" s="79">
        <f t="shared" si="18"/>
        <v>42093.333333333328</v>
      </c>
      <c r="K313" s="80">
        <f t="shared" si="19"/>
        <v>2145000</v>
      </c>
    </row>
    <row r="314" spans="1:11" ht="15" x14ac:dyDescent="0.25">
      <c r="A314" s="77">
        <v>49583</v>
      </c>
      <c r="B314" s="78">
        <v>0</v>
      </c>
      <c r="C314" s="78">
        <v>0</v>
      </c>
      <c r="D314" s="78">
        <f>B323/12</f>
        <v>32083.333333333332</v>
      </c>
      <c r="E314" s="78">
        <f>C317/6</f>
        <v>9831.25</v>
      </c>
      <c r="F314" s="79">
        <f t="shared" si="16"/>
        <v>41914.583333333328</v>
      </c>
      <c r="G314" s="79"/>
      <c r="H314" s="79">
        <f t="shared" si="17"/>
        <v>178.75</v>
      </c>
      <c r="I314" s="79">
        <f t="shared" si="18"/>
        <v>42093.333333333328</v>
      </c>
      <c r="K314" s="80">
        <f t="shared" si="19"/>
        <v>2145000</v>
      </c>
    </row>
    <row r="315" spans="1:11" ht="15" x14ac:dyDescent="0.25">
      <c r="A315" s="77">
        <v>49614</v>
      </c>
      <c r="B315" s="78">
        <v>0</v>
      </c>
      <c r="C315" s="78">
        <v>0</v>
      </c>
      <c r="D315" s="78">
        <f>B323/12</f>
        <v>32083.333333333332</v>
      </c>
      <c r="E315" s="78">
        <f>C317/6</f>
        <v>9831.25</v>
      </c>
      <c r="F315" s="79">
        <f t="shared" si="16"/>
        <v>41914.583333333328</v>
      </c>
      <c r="G315" s="79"/>
      <c r="H315" s="79">
        <f t="shared" si="17"/>
        <v>178.75</v>
      </c>
      <c r="I315" s="79">
        <f t="shared" si="18"/>
        <v>42093.333333333328</v>
      </c>
      <c r="K315" s="80">
        <f t="shared" si="19"/>
        <v>2145000</v>
      </c>
    </row>
    <row r="316" spans="1:11" ht="15" x14ac:dyDescent="0.25">
      <c r="A316" s="77">
        <v>49644</v>
      </c>
      <c r="B316" s="78">
        <v>0</v>
      </c>
      <c r="C316" s="78">
        <v>0</v>
      </c>
      <c r="D316" s="78">
        <f>B323/12</f>
        <v>32083.333333333332</v>
      </c>
      <c r="E316" s="78">
        <f>C317/6</f>
        <v>9831.25</v>
      </c>
      <c r="F316" s="79">
        <f t="shared" si="16"/>
        <v>41914.583333333328</v>
      </c>
      <c r="G316" s="79"/>
      <c r="H316" s="79">
        <f t="shared" si="17"/>
        <v>178.75</v>
      </c>
      <c r="I316" s="79">
        <f t="shared" si="18"/>
        <v>42093.333333333328</v>
      </c>
      <c r="K316" s="80">
        <f t="shared" si="19"/>
        <v>2145000</v>
      </c>
    </row>
    <row r="317" spans="1:11" ht="15" x14ac:dyDescent="0.25">
      <c r="A317" s="77">
        <v>49675</v>
      </c>
      <c r="B317" s="78">
        <v>0</v>
      </c>
      <c r="C317" s="78">
        <v>58987.5</v>
      </c>
      <c r="D317" s="78">
        <f>B323/12</f>
        <v>32083.333333333332</v>
      </c>
      <c r="E317" s="78">
        <f>C317/6</f>
        <v>9831.25</v>
      </c>
      <c r="F317" s="79">
        <f t="shared" si="16"/>
        <v>41914.583333333328</v>
      </c>
      <c r="G317" s="79"/>
      <c r="H317" s="79">
        <f t="shared" si="17"/>
        <v>178.75</v>
      </c>
      <c r="I317" s="79">
        <f t="shared" si="18"/>
        <v>42093.333333333328</v>
      </c>
      <c r="K317" s="80">
        <f t="shared" si="19"/>
        <v>2145000</v>
      </c>
    </row>
    <row r="318" spans="1:11" ht="15" x14ac:dyDescent="0.25">
      <c r="A318" s="77">
        <v>49706</v>
      </c>
      <c r="B318" s="78">
        <v>0</v>
      </c>
      <c r="C318" s="78">
        <v>0</v>
      </c>
      <c r="D318" s="78">
        <f>B323/12</f>
        <v>32083.333333333332</v>
      </c>
      <c r="E318" s="78">
        <f>C323/6</f>
        <v>9831.25</v>
      </c>
      <c r="F318" s="79">
        <f t="shared" si="16"/>
        <v>41914.583333333328</v>
      </c>
      <c r="G318" s="79"/>
      <c r="H318" s="79">
        <f t="shared" si="17"/>
        <v>178.75</v>
      </c>
      <c r="I318" s="79">
        <f t="shared" si="18"/>
        <v>42093.333333333328</v>
      </c>
      <c r="J318" s="81"/>
      <c r="K318" s="80">
        <f t="shared" si="19"/>
        <v>2145000</v>
      </c>
    </row>
    <row r="319" spans="1:11" ht="15" x14ac:dyDescent="0.25">
      <c r="A319" s="77">
        <v>49735</v>
      </c>
      <c r="B319" s="78">
        <v>0</v>
      </c>
      <c r="C319" s="78">
        <v>0</v>
      </c>
      <c r="D319" s="78">
        <f>B323/12</f>
        <v>32083.333333333332</v>
      </c>
      <c r="E319" s="78">
        <f>C323/6</f>
        <v>9831.25</v>
      </c>
      <c r="F319" s="79">
        <f t="shared" si="16"/>
        <v>41914.583333333328</v>
      </c>
      <c r="G319" s="79"/>
      <c r="H319" s="79">
        <f t="shared" si="17"/>
        <v>178.75</v>
      </c>
      <c r="I319" s="79">
        <f t="shared" si="18"/>
        <v>42093.333333333328</v>
      </c>
      <c r="K319" s="80">
        <f t="shared" si="19"/>
        <v>2145000</v>
      </c>
    </row>
    <row r="320" spans="1:11" ht="15" x14ac:dyDescent="0.25">
      <c r="A320" s="77">
        <v>49766</v>
      </c>
      <c r="B320" s="78">
        <v>0</v>
      </c>
      <c r="C320" s="78">
        <v>0</v>
      </c>
      <c r="D320" s="78">
        <f>B323/12</f>
        <v>32083.333333333332</v>
      </c>
      <c r="E320" s="78">
        <f>C323/6</f>
        <v>9831.25</v>
      </c>
      <c r="F320" s="79">
        <f t="shared" si="16"/>
        <v>41914.583333333328</v>
      </c>
      <c r="G320" s="79"/>
      <c r="H320" s="79">
        <f t="shared" si="17"/>
        <v>178.75</v>
      </c>
      <c r="I320" s="79">
        <f t="shared" si="18"/>
        <v>42093.333333333328</v>
      </c>
      <c r="K320" s="80">
        <f t="shared" si="19"/>
        <v>2145000</v>
      </c>
    </row>
    <row r="321" spans="1:11" ht="15" x14ac:dyDescent="0.25">
      <c r="A321" s="77">
        <v>49796</v>
      </c>
      <c r="B321" s="78">
        <v>0</v>
      </c>
      <c r="C321" s="78">
        <v>0</v>
      </c>
      <c r="D321" s="78">
        <f>B323/12</f>
        <v>32083.333333333332</v>
      </c>
      <c r="E321" s="78">
        <f>C323/6</f>
        <v>9831.25</v>
      </c>
      <c r="F321" s="79">
        <f t="shared" si="16"/>
        <v>41914.583333333328</v>
      </c>
      <c r="G321" s="79"/>
      <c r="H321" s="79">
        <f t="shared" si="17"/>
        <v>178.75</v>
      </c>
      <c r="I321" s="79">
        <f t="shared" si="18"/>
        <v>42093.333333333328</v>
      </c>
      <c r="K321" s="80">
        <f t="shared" si="19"/>
        <v>2145000</v>
      </c>
    </row>
    <row r="322" spans="1:11" ht="15" x14ac:dyDescent="0.25">
      <c r="A322" s="77">
        <v>49827</v>
      </c>
      <c r="B322" s="78">
        <v>0</v>
      </c>
      <c r="C322" s="78">
        <v>0</v>
      </c>
      <c r="D322" s="78">
        <f>B323/12</f>
        <v>32083.333333333332</v>
      </c>
      <c r="E322" s="78">
        <f>C323/6</f>
        <v>9831.25</v>
      </c>
      <c r="F322" s="79">
        <f t="shared" si="16"/>
        <v>41914.583333333328</v>
      </c>
      <c r="G322" s="79"/>
      <c r="H322" s="79">
        <f t="shared" si="17"/>
        <v>178.75</v>
      </c>
      <c r="I322" s="79">
        <f t="shared" si="18"/>
        <v>42093.333333333328</v>
      </c>
      <c r="K322" s="80">
        <f t="shared" si="19"/>
        <v>2145000</v>
      </c>
    </row>
    <row r="323" spans="1:11" ht="15" x14ac:dyDescent="0.25">
      <c r="A323" s="77">
        <v>49857</v>
      </c>
      <c r="B323" s="78">
        <v>385000</v>
      </c>
      <c r="C323" s="78">
        <v>58987.5</v>
      </c>
      <c r="D323" s="78">
        <f>B323/12</f>
        <v>32083.333333333332</v>
      </c>
      <c r="E323" s="78">
        <f>C323/6</f>
        <v>9831.25</v>
      </c>
      <c r="F323" s="79">
        <f t="shared" si="16"/>
        <v>41914.583333333328</v>
      </c>
      <c r="G323" s="79"/>
      <c r="H323" s="79">
        <f t="shared" si="17"/>
        <v>146.66666666666666</v>
      </c>
      <c r="I323" s="79">
        <f t="shared" si="18"/>
        <v>42061.249999999993</v>
      </c>
      <c r="J323" s="78">
        <f>SUM(F312:F323)</f>
        <v>502974.99999999983</v>
      </c>
      <c r="K323" s="80">
        <f t="shared" si="19"/>
        <v>2145000</v>
      </c>
    </row>
    <row r="324" spans="1:11" ht="15" x14ac:dyDescent="0.25">
      <c r="A324" s="77">
        <v>49888</v>
      </c>
      <c r="B324" s="78">
        <v>0</v>
      </c>
      <c r="C324" s="78">
        <v>0</v>
      </c>
      <c r="D324" s="78">
        <f>B335/12</f>
        <v>33750</v>
      </c>
      <c r="E324" s="78">
        <f>C329/6</f>
        <v>8066.666666666667</v>
      </c>
      <c r="F324" s="79">
        <f t="shared" si="16"/>
        <v>41816.666666666664</v>
      </c>
      <c r="G324" s="79"/>
      <c r="H324" s="79">
        <f t="shared" si="17"/>
        <v>146.66666666666666</v>
      </c>
      <c r="I324" s="79">
        <f t="shared" si="18"/>
        <v>41963.333333333328</v>
      </c>
      <c r="K324" s="80">
        <f t="shared" si="19"/>
        <v>1760000</v>
      </c>
    </row>
    <row r="325" spans="1:11" ht="15" x14ac:dyDescent="0.25">
      <c r="A325" s="77">
        <v>49919</v>
      </c>
      <c r="B325" s="78">
        <v>0</v>
      </c>
      <c r="C325" s="78">
        <v>0</v>
      </c>
      <c r="D325" s="78">
        <f>B335/12</f>
        <v>33750</v>
      </c>
      <c r="E325" s="78">
        <f>C329/6</f>
        <v>8066.666666666667</v>
      </c>
      <c r="F325" s="79">
        <f t="shared" si="16"/>
        <v>41816.666666666664</v>
      </c>
      <c r="G325" s="79"/>
      <c r="H325" s="79">
        <f t="shared" si="17"/>
        <v>146.66666666666666</v>
      </c>
      <c r="I325" s="79">
        <f t="shared" si="18"/>
        <v>41963.333333333328</v>
      </c>
      <c r="K325" s="80">
        <f t="shared" si="19"/>
        <v>1760000</v>
      </c>
    </row>
    <row r="326" spans="1:11" ht="15" x14ac:dyDescent="0.25">
      <c r="A326" s="77">
        <v>49949</v>
      </c>
      <c r="B326" s="78">
        <v>0</v>
      </c>
      <c r="C326" s="78">
        <v>0</v>
      </c>
      <c r="D326" s="78">
        <f>B335/12</f>
        <v>33750</v>
      </c>
      <c r="E326" s="78">
        <f>C329/6</f>
        <v>8066.666666666667</v>
      </c>
      <c r="F326" s="79">
        <f t="shared" si="16"/>
        <v>41816.666666666664</v>
      </c>
      <c r="G326" s="79"/>
      <c r="H326" s="79">
        <f t="shared" si="17"/>
        <v>146.66666666666666</v>
      </c>
      <c r="I326" s="79">
        <f t="shared" si="18"/>
        <v>41963.333333333328</v>
      </c>
      <c r="K326" s="80">
        <f t="shared" si="19"/>
        <v>1760000</v>
      </c>
    </row>
    <row r="327" spans="1:11" ht="15" x14ac:dyDescent="0.25">
      <c r="A327" s="77">
        <v>49980</v>
      </c>
      <c r="B327" s="78">
        <v>0</v>
      </c>
      <c r="C327" s="78">
        <v>0</v>
      </c>
      <c r="D327" s="78">
        <f>B335/12</f>
        <v>33750</v>
      </c>
      <c r="E327" s="78">
        <f>C329/6</f>
        <v>8066.666666666667</v>
      </c>
      <c r="F327" s="79">
        <f t="shared" si="16"/>
        <v>41816.666666666664</v>
      </c>
      <c r="G327" s="79"/>
      <c r="H327" s="79">
        <f t="shared" si="17"/>
        <v>146.66666666666666</v>
      </c>
      <c r="I327" s="79">
        <f t="shared" si="18"/>
        <v>41963.333333333328</v>
      </c>
      <c r="K327" s="80">
        <f t="shared" si="19"/>
        <v>1760000</v>
      </c>
    </row>
    <row r="328" spans="1:11" ht="15" x14ac:dyDescent="0.25">
      <c r="A328" s="77">
        <v>50010</v>
      </c>
      <c r="B328" s="78">
        <v>0</v>
      </c>
      <c r="C328" s="78">
        <v>0</v>
      </c>
      <c r="D328" s="78">
        <f>B335/12</f>
        <v>33750</v>
      </c>
      <c r="E328" s="78">
        <f>C329/6</f>
        <v>8066.666666666667</v>
      </c>
      <c r="F328" s="79">
        <f t="shared" ref="F328:F371" si="20">D328+E328</f>
        <v>41816.666666666664</v>
      </c>
      <c r="G328" s="79"/>
      <c r="H328" s="79">
        <f t="shared" si="17"/>
        <v>146.66666666666666</v>
      </c>
      <c r="I328" s="79">
        <f t="shared" si="18"/>
        <v>41963.333333333328</v>
      </c>
      <c r="K328" s="80">
        <f t="shared" si="19"/>
        <v>1760000</v>
      </c>
    </row>
    <row r="329" spans="1:11" ht="15" x14ac:dyDescent="0.25">
      <c r="A329" s="77">
        <v>50041</v>
      </c>
      <c r="B329" s="78">
        <v>0</v>
      </c>
      <c r="C329" s="78">
        <v>48400</v>
      </c>
      <c r="D329" s="78">
        <f>B335/12</f>
        <v>33750</v>
      </c>
      <c r="E329" s="78">
        <f>C329/6</f>
        <v>8066.666666666667</v>
      </c>
      <c r="F329" s="79">
        <f t="shared" si="20"/>
        <v>41816.666666666664</v>
      </c>
      <c r="G329" s="79"/>
      <c r="H329" s="79">
        <f t="shared" ref="H329:H371" si="21">+(K330*0.001)/12</f>
        <v>146.66666666666666</v>
      </c>
      <c r="I329" s="79">
        <f t="shared" ref="I329:I371" si="22">+F329+G329+H329</f>
        <v>41963.333333333328</v>
      </c>
      <c r="K329" s="80">
        <f t="shared" si="19"/>
        <v>1760000</v>
      </c>
    </row>
    <row r="330" spans="1:11" ht="15" x14ac:dyDescent="0.25">
      <c r="A330" s="77">
        <v>50072</v>
      </c>
      <c r="B330" s="78">
        <v>0</v>
      </c>
      <c r="C330" s="78">
        <v>0</v>
      </c>
      <c r="D330" s="78">
        <f>B335/12</f>
        <v>33750</v>
      </c>
      <c r="E330" s="78">
        <f>C335/6</f>
        <v>8066.666666666667</v>
      </c>
      <c r="F330" s="79">
        <f t="shared" si="20"/>
        <v>41816.666666666664</v>
      </c>
      <c r="G330" s="79"/>
      <c r="H330" s="79">
        <f t="shared" si="21"/>
        <v>146.66666666666666</v>
      </c>
      <c r="I330" s="79">
        <f t="shared" si="22"/>
        <v>41963.333333333328</v>
      </c>
      <c r="K330" s="80">
        <f t="shared" ref="K330:K371" si="23">+K329-B329</f>
        <v>1760000</v>
      </c>
    </row>
    <row r="331" spans="1:11" ht="15" x14ac:dyDescent="0.25">
      <c r="A331" s="77">
        <v>50100</v>
      </c>
      <c r="B331" s="78">
        <v>0</v>
      </c>
      <c r="C331" s="78">
        <v>0</v>
      </c>
      <c r="D331" s="78">
        <f>B335/12</f>
        <v>33750</v>
      </c>
      <c r="E331" s="78">
        <f>C335/6</f>
        <v>8066.666666666667</v>
      </c>
      <c r="F331" s="79">
        <f t="shared" si="20"/>
        <v>41816.666666666664</v>
      </c>
      <c r="G331" s="79"/>
      <c r="H331" s="79">
        <f t="shared" si="21"/>
        <v>146.66666666666666</v>
      </c>
      <c r="I331" s="79">
        <f t="shared" si="22"/>
        <v>41963.333333333328</v>
      </c>
      <c r="K331" s="80">
        <f t="shared" si="23"/>
        <v>1760000</v>
      </c>
    </row>
    <row r="332" spans="1:11" ht="15" x14ac:dyDescent="0.25">
      <c r="A332" s="77">
        <v>50131</v>
      </c>
      <c r="B332" s="78">
        <v>0</v>
      </c>
      <c r="C332" s="78">
        <v>0</v>
      </c>
      <c r="D332" s="78">
        <f>B335/12</f>
        <v>33750</v>
      </c>
      <c r="E332" s="78">
        <f>C335/6</f>
        <v>8066.666666666667</v>
      </c>
      <c r="F332" s="79">
        <f t="shared" si="20"/>
        <v>41816.666666666664</v>
      </c>
      <c r="G332" s="79"/>
      <c r="H332" s="79">
        <f t="shared" si="21"/>
        <v>146.66666666666666</v>
      </c>
      <c r="I332" s="79">
        <f t="shared" si="22"/>
        <v>41963.333333333328</v>
      </c>
      <c r="K332" s="80">
        <f t="shared" si="23"/>
        <v>1760000</v>
      </c>
    </row>
    <row r="333" spans="1:11" ht="15" x14ac:dyDescent="0.25">
      <c r="A333" s="77">
        <v>50161</v>
      </c>
      <c r="B333" s="78">
        <v>0</v>
      </c>
      <c r="C333" s="78">
        <v>0</v>
      </c>
      <c r="D333" s="78">
        <f>B335/12</f>
        <v>33750</v>
      </c>
      <c r="E333" s="78">
        <f>C335/6</f>
        <v>8066.666666666667</v>
      </c>
      <c r="F333" s="79">
        <f t="shared" si="20"/>
        <v>41816.666666666664</v>
      </c>
      <c r="G333" s="79"/>
      <c r="H333" s="79">
        <f t="shared" si="21"/>
        <v>146.66666666666666</v>
      </c>
      <c r="I333" s="79">
        <f t="shared" si="22"/>
        <v>41963.333333333328</v>
      </c>
      <c r="K333" s="80">
        <f t="shared" si="23"/>
        <v>1760000</v>
      </c>
    </row>
    <row r="334" spans="1:11" ht="15" x14ac:dyDescent="0.25">
      <c r="A334" s="77">
        <v>50192</v>
      </c>
      <c r="B334" s="78">
        <v>0</v>
      </c>
      <c r="C334" s="78">
        <v>0</v>
      </c>
      <c r="D334" s="78">
        <f>B335/12</f>
        <v>33750</v>
      </c>
      <c r="E334" s="78">
        <f>C335/6</f>
        <v>8066.666666666667</v>
      </c>
      <c r="F334" s="79">
        <f t="shared" si="20"/>
        <v>41816.666666666664</v>
      </c>
      <c r="G334" s="79"/>
      <c r="H334" s="79">
        <f t="shared" si="21"/>
        <v>146.66666666666666</v>
      </c>
      <c r="I334" s="79">
        <f t="shared" si="22"/>
        <v>41963.333333333328</v>
      </c>
      <c r="K334" s="80">
        <f t="shared" si="23"/>
        <v>1760000</v>
      </c>
    </row>
    <row r="335" spans="1:11" ht="15" x14ac:dyDescent="0.25">
      <c r="A335" s="77">
        <v>50222</v>
      </c>
      <c r="B335" s="78">
        <v>405000</v>
      </c>
      <c r="C335" s="78">
        <v>48400</v>
      </c>
      <c r="D335" s="78">
        <f>B335/12</f>
        <v>33750</v>
      </c>
      <c r="E335" s="78">
        <f>C335/6</f>
        <v>8066.666666666667</v>
      </c>
      <c r="F335" s="79">
        <f t="shared" si="20"/>
        <v>41816.666666666664</v>
      </c>
      <c r="G335" s="79"/>
      <c r="H335" s="79">
        <f t="shared" si="21"/>
        <v>112.91666666666667</v>
      </c>
      <c r="I335" s="79">
        <f t="shared" si="22"/>
        <v>41929.583333333328</v>
      </c>
      <c r="J335" s="78">
        <f>SUM(F324:F335)</f>
        <v>501800.00000000006</v>
      </c>
      <c r="K335" s="80">
        <f t="shared" si="23"/>
        <v>1760000</v>
      </c>
    </row>
    <row r="336" spans="1:11" ht="15" x14ac:dyDescent="0.25">
      <c r="A336" s="77">
        <v>50253</v>
      </c>
      <c r="B336" s="78">
        <v>0</v>
      </c>
      <c r="C336" s="78">
        <v>0</v>
      </c>
      <c r="D336" s="78">
        <f>B347/12</f>
        <v>35833.333333333336</v>
      </c>
      <c r="E336" s="78">
        <f>C341/6</f>
        <v>6210.416666666667</v>
      </c>
      <c r="F336" s="79">
        <f t="shared" si="20"/>
        <v>42043.75</v>
      </c>
      <c r="G336" s="79"/>
      <c r="H336" s="79">
        <f t="shared" si="21"/>
        <v>112.91666666666667</v>
      </c>
      <c r="I336" s="79">
        <f t="shared" si="22"/>
        <v>42156.666666666664</v>
      </c>
      <c r="K336" s="80">
        <f t="shared" si="23"/>
        <v>1355000</v>
      </c>
    </row>
    <row r="337" spans="1:15" ht="15" x14ac:dyDescent="0.25">
      <c r="A337" s="77">
        <v>50284</v>
      </c>
      <c r="B337" s="78">
        <v>0</v>
      </c>
      <c r="C337" s="78">
        <v>0</v>
      </c>
      <c r="D337" s="78">
        <f>B347/12</f>
        <v>35833.333333333336</v>
      </c>
      <c r="E337" s="78">
        <f>C341/6</f>
        <v>6210.416666666667</v>
      </c>
      <c r="F337" s="79">
        <f t="shared" si="20"/>
        <v>42043.75</v>
      </c>
      <c r="G337" s="79"/>
      <c r="H337" s="79">
        <f t="shared" si="21"/>
        <v>112.91666666666667</v>
      </c>
      <c r="I337" s="79">
        <f t="shared" si="22"/>
        <v>42156.666666666664</v>
      </c>
      <c r="K337" s="80">
        <f t="shared" si="23"/>
        <v>1355000</v>
      </c>
    </row>
    <row r="338" spans="1:15" ht="15" x14ac:dyDescent="0.25">
      <c r="A338" s="77">
        <v>50314</v>
      </c>
      <c r="B338" s="78">
        <v>0</v>
      </c>
      <c r="C338" s="78">
        <v>0</v>
      </c>
      <c r="D338" s="78">
        <f>B347/12</f>
        <v>35833.333333333336</v>
      </c>
      <c r="E338" s="78">
        <f>C341/6</f>
        <v>6210.416666666667</v>
      </c>
      <c r="F338" s="79">
        <f t="shared" si="20"/>
        <v>42043.75</v>
      </c>
      <c r="G338" s="79"/>
      <c r="H338" s="79">
        <f t="shared" si="21"/>
        <v>112.91666666666667</v>
      </c>
      <c r="I338" s="79">
        <f t="shared" si="22"/>
        <v>42156.666666666664</v>
      </c>
      <c r="K338" s="80">
        <f t="shared" si="23"/>
        <v>1355000</v>
      </c>
    </row>
    <row r="339" spans="1:15" ht="15" x14ac:dyDescent="0.25">
      <c r="A339" s="77">
        <v>50345</v>
      </c>
      <c r="B339" s="78">
        <v>0</v>
      </c>
      <c r="C339" s="78">
        <v>0</v>
      </c>
      <c r="D339" s="78">
        <f>B347/12</f>
        <v>35833.333333333336</v>
      </c>
      <c r="E339" s="78">
        <f>C341/6</f>
        <v>6210.416666666667</v>
      </c>
      <c r="F339" s="79">
        <f t="shared" si="20"/>
        <v>42043.75</v>
      </c>
      <c r="G339" s="79"/>
      <c r="H339" s="79">
        <f t="shared" si="21"/>
        <v>112.91666666666667</v>
      </c>
      <c r="I339" s="79">
        <f t="shared" si="22"/>
        <v>42156.666666666664</v>
      </c>
      <c r="K339" s="80">
        <f t="shared" si="23"/>
        <v>1355000</v>
      </c>
    </row>
    <row r="340" spans="1:15" ht="15" x14ac:dyDescent="0.25">
      <c r="A340" s="77">
        <v>50375</v>
      </c>
      <c r="B340" s="78">
        <v>0</v>
      </c>
      <c r="C340" s="78">
        <v>0</v>
      </c>
      <c r="D340" s="78">
        <f>B347/12</f>
        <v>35833.333333333336</v>
      </c>
      <c r="E340" s="78">
        <f>C341/6</f>
        <v>6210.416666666667</v>
      </c>
      <c r="F340" s="79">
        <f t="shared" si="20"/>
        <v>42043.75</v>
      </c>
      <c r="G340" s="79"/>
      <c r="H340" s="79">
        <f t="shared" si="21"/>
        <v>112.91666666666667</v>
      </c>
      <c r="I340" s="79">
        <f t="shared" si="22"/>
        <v>42156.666666666664</v>
      </c>
      <c r="K340" s="80">
        <f t="shared" si="23"/>
        <v>1355000</v>
      </c>
    </row>
    <row r="341" spans="1:15" ht="15" x14ac:dyDescent="0.25">
      <c r="A341" s="77">
        <v>50406</v>
      </c>
      <c r="B341" s="78">
        <v>0</v>
      </c>
      <c r="C341" s="78">
        <v>37262.5</v>
      </c>
      <c r="D341" s="78">
        <f>B347/12</f>
        <v>35833.333333333336</v>
      </c>
      <c r="E341" s="78">
        <f>C341/6</f>
        <v>6210.416666666667</v>
      </c>
      <c r="F341" s="79">
        <f t="shared" si="20"/>
        <v>42043.75</v>
      </c>
      <c r="G341" s="79"/>
      <c r="H341" s="79">
        <f t="shared" si="21"/>
        <v>112.91666666666667</v>
      </c>
      <c r="I341" s="79">
        <f t="shared" si="22"/>
        <v>42156.666666666664</v>
      </c>
      <c r="K341" s="80">
        <f t="shared" si="23"/>
        <v>1355000</v>
      </c>
      <c r="O341" s="68" t="s">
        <v>39</v>
      </c>
    </row>
    <row r="342" spans="1:15" ht="15" x14ac:dyDescent="0.25">
      <c r="A342" s="77">
        <v>50437</v>
      </c>
      <c r="B342" s="78">
        <v>0</v>
      </c>
      <c r="C342" s="78">
        <v>0</v>
      </c>
      <c r="D342" s="78">
        <f>B347/12</f>
        <v>35833.333333333336</v>
      </c>
      <c r="E342" s="78">
        <f>C347/6</f>
        <v>6210.416666666667</v>
      </c>
      <c r="F342" s="79">
        <f t="shared" si="20"/>
        <v>42043.75</v>
      </c>
      <c r="G342" s="79"/>
      <c r="H342" s="79">
        <f t="shared" si="21"/>
        <v>112.91666666666667</v>
      </c>
      <c r="I342" s="79">
        <f t="shared" si="22"/>
        <v>42156.666666666664</v>
      </c>
      <c r="J342" s="81"/>
      <c r="K342" s="80">
        <f t="shared" si="23"/>
        <v>1355000</v>
      </c>
    </row>
    <row r="343" spans="1:15" ht="15" x14ac:dyDescent="0.25">
      <c r="A343" s="77">
        <v>50465</v>
      </c>
      <c r="B343" s="78">
        <v>0</v>
      </c>
      <c r="C343" s="78">
        <v>0</v>
      </c>
      <c r="D343" s="78">
        <f>B347/12</f>
        <v>35833.333333333336</v>
      </c>
      <c r="E343" s="78">
        <f>C347/6</f>
        <v>6210.416666666667</v>
      </c>
      <c r="F343" s="79">
        <f t="shared" si="20"/>
        <v>42043.75</v>
      </c>
      <c r="G343" s="79"/>
      <c r="H343" s="79">
        <f t="shared" si="21"/>
        <v>112.91666666666667</v>
      </c>
      <c r="I343" s="79">
        <f t="shared" si="22"/>
        <v>42156.666666666664</v>
      </c>
      <c r="K343" s="80">
        <f t="shared" si="23"/>
        <v>1355000</v>
      </c>
    </row>
    <row r="344" spans="1:15" ht="15" x14ac:dyDescent="0.25">
      <c r="A344" s="77">
        <v>50496</v>
      </c>
      <c r="B344" s="78">
        <v>0</v>
      </c>
      <c r="C344" s="78">
        <v>0</v>
      </c>
      <c r="D344" s="78">
        <f>B347/12</f>
        <v>35833.333333333336</v>
      </c>
      <c r="E344" s="78">
        <f>C347/6</f>
        <v>6210.416666666667</v>
      </c>
      <c r="F344" s="79">
        <f t="shared" si="20"/>
        <v>42043.75</v>
      </c>
      <c r="G344" s="79"/>
      <c r="H344" s="79">
        <f t="shared" si="21"/>
        <v>112.91666666666667</v>
      </c>
      <c r="I344" s="79">
        <f t="shared" si="22"/>
        <v>42156.666666666664</v>
      </c>
      <c r="K344" s="80">
        <f t="shared" si="23"/>
        <v>1355000</v>
      </c>
    </row>
    <row r="345" spans="1:15" ht="15" x14ac:dyDescent="0.25">
      <c r="A345" s="77">
        <v>50526</v>
      </c>
      <c r="B345" s="78">
        <v>0</v>
      </c>
      <c r="C345" s="78">
        <v>0</v>
      </c>
      <c r="D345" s="78">
        <f>B347/12</f>
        <v>35833.333333333336</v>
      </c>
      <c r="E345" s="78">
        <f>C347/6</f>
        <v>6210.416666666667</v>
      </c>
      <c r="F345" s="79">
        <f t="shared" si="20"/>
        <v>42043.75</v>
      </c>
      <c r="G345" s="79"/>
      <c r="H345" s="79">
        <f t="shared" si="21"/>
        <v>112.91666666666667</v>
      </c>
      <c r="I345" s="79">
        <f t="shared" si="22"/>
        <v>42156.666666666664</v>
      </c>
      <c r="K345" s="80">
        <f t="shared" si="23"/>
        <v>1355000</v>
      </c>
    </row>
    <row r="346" spans="1:15" ht="15" x14ac:dyDescent="0.25">
      <c r="A346" s="77">
        <v>50557</v>
      </c>
      <c r="B346" s="78">
        <v>0</v>
      </c>
      <c r="C346" s="78">
        <v>0</v>
      </c>
      <c r="D346" s="78">
        <f>B347/12</f>
        <v>35833.333333333336</v>
      </c>
      <c r="E346" s="78">
        <f>C347/6</f>
        <v>6210.416666666667</v>
      </c>
      <c r="F346" s="79">
        <f t="shared" si="20"/>
        <v>42043.75</v>
      </c>
      <c r="G346" s="79"/>
      <c r="H346" s="79">
        <f t="shared" si="21"/>
        <v>112.91666666666667</v>
      </c>
      <c r="I346" s="79">
        <f t="shared" si="22"/>
        <v>42156.666666666664</v>
      </c>
      <c r="K346" s="80">
        <f t="shared" si="23"/>
        <v>1355000</v>
      </c>
    </row>
    <row r="347" spans="1:15" ht="15" x14ac:dyDescent="0.25">
      <c r="A347" s="77">
        <v>50587</v>
      </c>
      <c r="B347" s="78">
        <v>430000</v>
      </c>
      <c r="C347" s="78">
        <v>37262.5</v>
      </c>
      <c r="D347" s="78">
        <f>B347/12</f>
        <v>35833.333333333336</v>
      </c>
      <c r="E347" s="78">
        <f>C347/6</f>
        <v>6210.416666666667</v>
      </c>
      <c r="F347" s="79">
        <f t="shared" si="20"/>
        <v>42043.75</v>
      </c>
      <c r="G347" s="79"/>
      <c r="H347" s="79">
        <f t="shared" si="21"/>
        <v>77.083333333333329</v>
      </c>
      <c r="I347" s="79">
        <f t="shared" si="22"/>
        <v>42120.833333333336</v>
      </c>
      <c r="J347" s="78">
        <f>SUM(F336:F347)</f>
        <v>504525</v>
      </c>
      <c r="K347" s="80">
        <f t="shared" si="23"/>
        <v>1355000</v>
      </c>
    </row>
    <row r="348" spans="1:15" ht="15" x14ac:dyDescent="0.25">
      <c r="A348" s="77">
        <v>50618</v>
      </c>
      <c r="B348" s="78">
        <v>0</v>
      </c>
      <c r="C348" s="78">
        <v>0</v>
      </c>
      <c r="D348" s="78">
        <f>B359/12</f>
        <v>37500</v>
      </c>
      <c r="E348" s="78">
        <f>C353/6</f>
        <v>4239.583333333333</v>
      </c>
      <c r="F348" s="79">
        <f t="shared" si="20"/>
        <v>41739.583333333336</v>
      </c>
      <c r="G348" s="79"/>
      <c r="H348" s="79">
        <f t="shared" si="21"/>
        <v>77.083333333333329</v>
      </c>
      <c r="I348" s="79">
        <f t="shared" si="22"/>
        <v>41816.666666666672</v>
      </c>
      <c r="K348" s="80">
        <f t="shared" si="23"/>
        <v>925000</v>
      </c>
    </row>
    <row r="349" spans="1:15" ht="15" x14ac:dyDescent="0.25">
      <c r="A349" s="77">
        <v>50649</v>
      </c>
      <c r="B349" s="78">
        <v>0</v>
      </c>
      <c r="C349" s="78">
        <v>0</v>
      </c>
      <c r="D349" s="78">
        <f>B359/12</f>
        <v>37500</v>
      </c>
      <c r="E349" s="78">
        <f>C353/6</f>
        <v>4239.583333333333</v>
      </c>
      <c r="F349" s="79">
        <f t="shared" si="20"/>
        <v>41739.583333333336</v>
      </c>
      <c r="G349" s="79"/>
      <c r="H349" s="79">
        <f t="shared" si="21"/>
        <v>77.083333333333329</v>
      </c>
      <c r="I349" s="79">
        <f t="shared" si="22"/>
        <v>41816.666666666672</v>
      </c>
      <c r="K349" s="80">
        <f t="shared" si="23"/>
        <v>925000</v>
      </c>
    </row>
    <row r="350" spans="1:15" ht="15" x14ac:dyDescent="0.25">
      <c r="A350" s="77">
        <v>50679</v>
      </c>
      <c r="B350" s="78">
        <v>0</v>
      </c>
      <c r="C350" s="78">
        <v>0</v>
      </c>
      <c r="D350" s="78">
        <f>B359/12</f>
        <v>37500</v>
      </c>
      <c r="E350" s="78">
        <f>C353/6</f>
        <v>4239.583333333333</v>
      </c>
      <c r="F350" s="79">
        <f t="shared" si="20"/>
        <v>41739.583333333336</v>
      </c>
      <c r="G350" s="79"/>
      <c r="H350" s="79">
        <f t="shared" si="21"/>
        <v>77.083333333333329</v>
      </c>
      <c r="I350" s="79">
        <f t="shared" si="22"/>
        <v>41816.666666666672</v>
      </c>
      <c r="K350" s="80">
        <f t="shared" si="23"/>
        <v>925000</v>
      </c>
    </row>
    <row r="351" spans="1:15" ht="15" x14ac:dyDescent="0.25">
      <c r="A351" s="77">
        <v>50710</v>
      </c>
      <c r="B351" s="78">
        <v>0</v>
      </c>
      <c r="C351" s="78">
        <v>0</v>
      </c>
      <c r="D351" s="78">
        <f>B359/12</f>
        <v>37500</v>
      </c>
      <c r="E351" s="78">
        <f>C353/6</f>
        <v>4239.583333333333</v>
      </c>
      <c r="F351" s="79">
        <f t="shared" si="20"/>
        <v>41739.583333333336</v>
      </c>
      <c r="G351" s="79"/>
      <c r="H351" s="79">
        <f t="shared" si="21"/>
        <v>77.083333333333329</v>
      </c>
      <c r="I351" s="79">
        <f t="shared" si="22"/>
        <v>41816.666666666672</v>
      </c>
      <c r="K351" s="80">
        <f t="shared" si="23"/>
        <v>925000</v>
      </c>
    </row>
    <row r="352" spans="1:15" ht="15" x14ac:dyDescent="0.25">
      <c r="A352" s="77">
        <v>50740</v>
      </c>
      <c r="B352" s="78">
        <v>0</v>
      </c>
      <c r="C352" s="78">
        <v>0</v>
      </c>
      <c r="D352" s="78">
        <f>B359/12</f>
        <v>37500</v>
      </c>
      <c r="E352" s="78">
        <f>C353/6</f>
        <v>4239.583333333333</v>
      </c>
      <c r="F352" s="79">
        <f t="shared" si="20"/>
        <v>41739.583333333336</v>
      </c>
      <c r="G352" s="79"/>
      <c r="H352" s="79">
        <f t="shared" si="21"/>
        <v>77.083333333333329</v>
      </c>
      <c r="I352" s="79">
        <f t="shared" si="22"/>
        <v>41816.666666666672</v>
      </c>
      <c r="K352" s="80">
        <f t="shared" si="23"/>
        <v>925000</v>
      </c>
    </row>
    <row r="353" spans="1:11" ht="15" x14ac:dyDescent="0.25">
      <c r="A353" s="77">
        <v>50771</v>
      </c>
      <c r="B353" s="78">
        <v>0</v>
      </c>
      <c r="C353" s="78">
        <v>25437.5</v>
      </c>
      <c r="D353" s="78">
        <f>B359/12</f>
        <v>37500</v>
      </c>
      <c r="E353" s="78">
        <f>C353/6</f>
        <v>4239.583333333333</v>
      </c>
      <c r="F353" s="79">
        <f t="shared" si="20"/>
        <v>41739.583333333336</v>
      </c>
      <c r="G353" s="79"/>
      <c r="H353" s="79">
        <f t="shared" si="21"/>
        <v>77.083333333333329</v>
      </c>
      <c r="I353" s="79">
        <f t="shared" si="22"/>
        <v>41816.666666666672</v>
      </c>
      <c r="K353" s="80">
        <f t="shared" si="23"/>
        <v>925000</v>
      </c>
    </row>
    <row r="354" spans="1:11" ht="15" x14ac:dyDescent="0.25">
      <c r="A354" s="77">
        <v>50802</v>
      </c>
      <c r="B354" s="78">
        <v>0</v>
      </c>
      <c r="C354" s="78">
        <v>0</v>
      </c>
      <c r="D354" s="78">
        <f>B359/12</f>
        <v>37500</v>
      </c>
      <c r="E354" s="78">
        <f>C359/6</f>
        <v>4239.583333333333</v>
      </c>
      <c r="F354" s="79">
        <f t="shared" si="20"/>
        <v>41739.583333333336</v>
      </c>
      <c r="G354" s="79"/>
      <c r="H354" s="79">
        <f t="shared" si="21"/>
        <v>77.083333333333329</v>
      </c>
      <c r="I354" s="79">
        <f t="shared" si="22"/>
        <v>41816.666666666672</v>
      </c>
      <c r="K354" s="80">
        <f t="shared" si="23"/>
        <v>925000</v>
      </c>
    </row>
    <row r="355" spans="1:11" ht="15" x14ac:dyDescent="0.25">
      <c r="A355" s="77">
        <v>50830</v>
      </c>
      <c r="B355" s="78">
        <v>0</v>
      </c>
      <c r="C355" s="78">
        <v>0</v>
      </c>
      <c r="D355" s="78">
        <f>B359/12</f>
        <v>37500</v>
      </c>
      <c r="E355" s="78">
        <f>C359/6</f>
        <v>4239.583333333333</v>
      </c>
      <c r="F355" s="79">
        <f t="shared" si="20"/>
        <v>41739.583333333336</v>
      </c>
      <c r="G355" s="79"/>
      <c r="H355" s="79">
        <f t="shared" si="21"/>
        <v>77.083333333333329</v>
      </c>
      <c r="I355" s="79">
        <f t="shared" si="22"/>
        <v>41816.666666666672</v>
      </c>
      <c r="K355" s="80">
        <f t="shared" si="23"/>
        <v>925000</v>
      </c>
    </row>
    <row r="356" spans="1:11" ht="15" x14ac:dyDescent="0.25">
      <c r="A356" s="77">
        <v>50861</v>
      </c>
      <c r="B356" s="78">
        <v>0</v>
      </c>
      <c r="C356" s="78">
        <v>0</v>
      </c>
      <c r="D356" s="78">
        <f>B359/12</f>
        <v>37500</v>
      </c>
      <c r="E356" s="78">
        <f>C359/6</f>
        <v>4239.583333333333</v>
      </c>
      <c r="F356" s="79">
        <f t="shared" si="20"/>
        <v>41739.583333333336</v>
      </c>
      <c r="G356" s="79"/>
      <c r="H356" s="79">
        <f t="shared" si="21"/>
        <v>77.083333333333329</v>
      </c>
      <c r="I356" s="79">
        <f t="shared" si="22"/>
        <v>41816.666666666672</v>
      </c>
      <c r="K356" s="80">
        <f t="shared" si="23"/>
        <v>925000</v>
      </c>
    </row>
    <row r="357" spans="1:11" ht="15" x14ac:dyDescent="0.25">
      <c r="A357" s="77">
        <v>50891</v>
      </c>
      <c r="B357" s="78">
        <v>0</v>
      </c>
      <c r="C357" s="78">
        <v>0</v>
      </c>
      <c r="D357" s="78">
        <f>B359/12</f>
        <v>37500</v>
      </c>
      <c r="E357" s="78">
        <f>C359/6</f>
        <v>4239.583333333333</v>
      </c>
      <c r="F357" s="79">
        <f t="shared" si="20"/>
        <v>41739.583333333336</v>
      </c>
      <c r="G357" s="79"/>
      <c r="H357" s="79">
        <f t="shared" si="21"/>
        <v>77.083333333333329</v>
      </c>
      <c r="I357" s="79">
        <f t="shared" si="22"/>
        <v>41816.666666666672</v>
      </c>
      <c r="K357" s="80">
        <f t="shared" si="23"/>
        <v>925000</v>
      </c>
    </row>
    <row r="358" spans="1:11" ht="15" x14ac:dyDescent="0.25">
      <c r="A358" s="77">
        <v>50922</v>
      </c>
      <c r="B358" s="78">
        <v>0</v>
      </c>
      <c r="C358" s="78">
        <v>0</v>
      </c>
      <c r="D358" s="78">
        <f>B359/12</f>
        <v>37500</v>
      </c>
      <c r="E358" s="78">
        <f>C359/6</f>
        <v>4239.583333333333</v>
      </c>
      <c r="F358" s="79">
        <f t="shared" si="20"/>
        <v>41739.583333333336</v>
      </c>
      <c r="G358" s="79"/>
      <c r="H358" s="79">
        <f t="shared" si="21"/>
        <v>77.083333333333329</v>
      </c>
      <c r="I358" s="79">
        <f t="shared" si="22"/>
        <v>41816.666666666672</v>
      </c>
      <c r="K358" s="80">
        <f t="shared" si="23"/>
        <v>925000</v>
      </c>
    </row>
    <row r="359" spans="1:11" ht="15" x14ac:dyDescent="0.25">
      <c r="A359" s="77">
        <v>50952</v>
      </c>
      <c r="B359" s="78">
        <v>450000</v>
      </c>
      <c r="C359" s="78">
        <v>25437.5</v>
      </c>
      <c r="D359" s="78">
        <f>B359/12</f>
        <v>37500</v>
      </c>
      <c r="E359" s="78">
        <f>C359/6</f>
        <v>4239.583333333333</v>
      </c>
      <c r="F359" s="79">
        <f t="shared" si="20"/>
        <v>41739.583333333336</v>
      </c>
      <c r="G359" s="79"/>
      <c r="H359" s="79">
        <f t="shared" si="21"/>
        <v>39.583333333333336</v>
      </c>
      <c r="I359" s="79">
        <f t="shared" si="22"/>
        <v>41779.166666666672</v>
      </c>
      <c r="J359" s="78">
        <f>SUM(F348:F359)</f>
        <v>500874.99999999994</v>
      </c>
      <c r="K359" s="80">
        <f t="shared" si="23"/>
        <v>925000</v>
      </c>
    </row>
    <row r="360" spans="1:11" ht="15" x14ac:dyDescent="0.25">
      <c r="A360" s="77">
        <v>50983</v>
      </c>
      <c r="B360" s="78">
        <v>0</v>
      </c>
      <c r="C360" s="78">
        <v>0</v>
      </c>
      <c r="D360" s="78">
        <f>B371/12</f>
        <v>39583.333333333336</v>
      </c>
      <c r="E360" s="78">
        <f>C365/6</f>
        <v>2177.0833333333335</v>
      </c>
      <c r="F360" s="79">
        <f t="shared" si="20"/>
        <v>41760.416666666672</v>
      </c>
      <c r="G360" s="79"/>
      <c r="H360" s="79">
        <f t="shared" si="21"/>
        <v>39.583333333333336</v>
      </c>
      <c r="I360" s="79">
        <f t="shared" si="22"/>
        <v>41800.000000000007</v>
      </c>
      <c r="K360" s="80">
        <f t="shared" si="23"/>
        <v>475000</v>
      </c>
    </row>
    <row r="361" spans="1:11" ht="15" x14ac:dyDescent="0.25">
      <c r="A361" s="77">
        <v>51014</v>
      </c>
      <c r="B361" s="78">
        <v>0</v>
      </c>
      <c r="C361" s="78">
        <v>0</v>
      </c>
      <c r="D361" s="78">
        <f>B371/12</f>
        <v>39583.333333333336</v>
      </c>
      <c r="E361" s="78">
        <f>C365/6</f>
        <v>2177.0833333333335</v>
      </c>
      <c r="F361" s="79">
        <f t="shared" si="20"/>
        <v>41760.416666666672</v>
      </c>
      <c r="G361" s="79"/>
      <c r="H361" s="79">
        <f t="shared" si="21"/>
        <v>39.583333333333336</v>
      </c>
      <c r="I361" s="79">
        <f t="shared" si="22"/>
        <v>41800.000000000007</v>
      </c>
      <c r="K361" s="80">
        <f t="shared" si="23"/>
        <v>475000</v>
      </c>
    </row>
    <row r="362" spans="1:11" ht="15" x14ac:dyDescent="0.25">
      <c r="A362" s="77">
        <v>51044</v>
      </c>
      <c r="B362" s="78">
        <v>0</v>
      </c>
      <c r="C362" s="78">
        <v>0</v>
      </c>
      <c r="D362" s="78">
        <f>B371/12</f>
        <v>39583.333333333336</v>
      </c>
      <c r="E362" s="78">
        <f>C365/6</f>
        <v>2177.0833333333335</v>
      </c>
      <c r="F362" s="79">
        <f t="shared" si="20"/>
        <v>41760.416666666672</v>
      </c>
      <c r="G362" s="79"/>
      <c r="H362" s="79">
        <f t="shared" si="21"/>
        <v>39.583333333333336</v>
      </c>
      <c r="I362" s="79">
        <f t="shared" si="22"/>
        <v>41800.000000000007</v>
      </c>
      <c r="K362" s="80">
        <f t="shared" si="23"/>
        <v>475000</v>
      </c>
    </row>
    <row r="363" spans="1:11" ht="15" x14ac:dyDescent="0.25">
      <c r="A363" s="77">
        <v>51075</v>
      </c>
      <c r="B363" s="78">
        <v>0</v>
      </c>
      <c r="C363" s="78">
        <v>0</v>
      </c>
      <c r="D363" s="78">
        <f>B371/12</f>
        <v>39583.333333333336</v>
      </c>
      <c r="E363" s="78">
        <f>C365/6</f>
        <v>2177.0833333333335</v>
      </c>
      <c r="F363" s="79">
        <f t="shared" si="20"/>
        <v>41760.416666666672</v>
      </c>
      <c r="G363" s="79"/>
      <c r="H363" s="79">
        <f t="shared" si="21"/>
        <v>39.583333333333336</v>
      </c>
      <c r="I363" s="79">
        <f t="shared" si="22"/>
        <v>41800.000000000007</v>
      </c>
      <c r="K363" s="80">
        <f t="shared" si="23"/>
        <v>475000</v>
      </c>
    </row>
    <row r="364" spans="1:11" ht="15" x14ac:dyDescent="0.25">
      <c r="A364" s="77">
        <v>51105</v>
      </c>
      <c r="B364" s="78">
        <v>0</v>
      </c>
      <c r="C364" s="78">
        <v>0</v>
      </c>
      <c r="D364" s="78">
        <f>B371/12</f>
        <v>39583.333333333336</v>
      </c>
      <c r="E364" s="78">
        <f>C365/6</f>
        <v>2177.0833333333335</v>
      </c>
      <c r="F364" s="79">
        <f t="shared" si="20"/>
        <v>41760.416666666672</v>
      </c>
      <c r="G364" s="79"/>
      <c r="H364" s="79">
        <f t="shared" si="21"/>
        <v>39.583333333333336</v>
      </c>
      <c r="I364" s="79">
        <f t="shared" si="22"/>
        <v>41800.000000000007</v>
      </c>
      <c r="K364" s="80">
        <f t="shared" si="23"/>
        <v>475000</v>
      </c>
    </row>
    <row r="365" spans="1:11" ht="15" x14ac:dyDescent="0.25">
      <c r="A365" s="77">
        <v>51136</v>
      </c>
      <c r="B365" s="78">
        <v>0</v>
      </c>
      <c r="C365" s="78">
        <v>13062.5</v>
      </c>
      <c r="D365" s="78">
        <f>B371/12</f>
        <v>39583.333333333336</v>
      </c>
      <c r="E365" s="78">
        <f>C365/6</f>
        <v>2177.0833333333335</v>
      </c>
      <c r="F365" s="79">
        <f t="shared" si="20"/>
        <v>41760.416666666672</v>
      </c>
      <c r="G365" s="79"/>
      <c r="H365" s="79">
        <f t="shared" si="21"/>
        <v>39.583333333333336</v>
      </c>
      <c r="I365" s="79">
        <f t="shared" si="22"/>
        <v>41800.000000000007</v>
      </c>
      <c r="K365" s="80">
        <f t="shared" si="23"/>
        <v>475000</v>
      </c>
    </row>
    <row r="366" spans="1:11" ht="15" x14ac:dyDescent="0.25">
      <c r="A366" s="77">
        <v>51167</v>
      </c>
      <c r="B366" s="78">
        <v>0</v>
      </c>
      <c r="C366" s="78">
        <v>0</v>
      </c>
      <c r="D366" s="78">
        <f>B371/12</f>
        <v>39583.333333333336</v>
      </c>
      <c r="E366" s="78">
        <f>C371/6</f>
        <v>2177.0833333333335</v>
      </c>
      <c r="F366" s="79">
        <f t="shared" si="20"/>
        <v>41760.416666666672</v>
      </c>
      <c r="G366" s="79"/>
      <c r="H366" s="79">
        <f t="shared" si="21"/>
        <v>39.583333333333336</v>
      </c>
      <c r="I366" s="79">
        <f t="shared" si="22"/>
        <v>41800.000000000007</v>
      </c>
      <c r="J366" s="81"/>
      <c r="K366" s="80">
        <f t="shared" si="23"/>
        <v>475000</v>
      </c>
    </row>
    <row r="367" spans="1:11" ht="15" x14ac:dyDescent="0.25">
      <c r="A367" s="77">
        <v>51196</v>
      </c>
      <c r="B367" s="78">
        <v>0</v>
      </c>
      <c r="C367" s="78">
        <v>0</v>
      </c>
      <c r="D367" s="78">
        <f>B371/12</f>
        <v>39583.333333333336</v>
      </c>
      <c r="E367" s="78">
        <f>C371/6</f>
        <v>2177.0833333333335</v>
      </c>
      <c r="F367" s="79">
        <f t="shared" si="20"/>
        <v>41760.416666666672</v>
      </c>
      <c r="G367" s="79"/>
      <c r="H367" s="79">
        <f t="shared" si="21"/>
        <v>39.583333333333336</v>
      </c>
      <c r="I367" s="79">
        <f t="shared" si="22"/>
        <v>41800.000000000007</v>
      </c>
      <c r="K367" s="80">
        <f t="shared" si="23"/>
        <v>475000</v>
      </c>
    </row>
    <row r="368" spans="1:11" ht="15" x14ac:dyDescent="0.25">
      <c r="A368" s="77">
        <v>51227</v>
      </c>
      <c r="B368" s="78">
        <v>0</v>
      </c>
      <c r="C368" s="78">
        <v>0</v>
      </c>
      <c r="D368" s="78">
        <f>B371/12</f>
        <v>39583.333333333336</v>
      </c>
      <c r="E368" s="78">
        <f>C371/6</f>
        <v>2177.0833333333335</v>
      </c>
      <c r="F368" s="79">
        <f t="shared" si="20"/>
        <v>41760.416666666672</v>
      </c>
      <c r="G368" s="79"/>
      <c r="H368" s="79">
        <f t="shared" si="21"/>
        <v>39.583333333333336</v>
      </c>
      <c r="I368" s="79">
        <f t="shared" si="22"/>
        <v>41800.000000000007</v>
      </c>
      <c r="K368" s="80">
        <f t="shared" si="23"/>
        <v>475000</v>
      </c>
    </row>
    <row r="369" spans="1:13" ht="15" x14ac:dyDescent="0.25">
      <c r="A369" s="77">
        <v>51257</v>
      </c>
      <c r="B369" s="78">
        <v>0</v>
      </c>
      <c r="C369" s="78">
        <v>0</v>
      </c>
      <c r="D369" s="78">
        <f>B371/12</f>
        <v>39583.333333333336</v>
      </c>
      <c r="E369" s="78">
        <f>C371/6</f>
        <v>2177.0833333333335</v>
      </c>
      <c r="F369" s="79">
        <f t="shared" si="20"/>
        <v>41760.416666666672</v>
      </c>
      <c r="G369" s="79"/>
      <c r="H369" s="79">
        <f t="shared" si="21"/>
        <v>39.583333333333336</v>
      </c>
      <c r="I369" s="79">
        <f t="shared" si="22"/>
        <v>41800.000000000007</v>
      </c>
      <c r="K369" s="80">
        <f t="shared" si="23"/>
        <v>475000</v>
      </c>
    </row>
    <row r="370" spans="1:13" ht="15" x14ac:dyDescent="0.25">
      <c r="A370" s="77">
        <v>51288</v>
      </c>
      <c r="B370" s="78">
        <v>0</v>
      </c>
      <c r="C370" s="78">
        <v>0</v>
      </c>
      <c r="D370" s="78">
        <f>B371/12</f>
        <v>39583.333333333336</v>
      </c>
      <c r="E370" s="78">
        <f>C371/6</f>
        <v>2177.0833333333335</v>
      </c>
      <c r="F370" s="79">
        <f t="shared" si="20"/>
        <v>41760.416666666672</v>
      </c>
      <c r="G370" s="79"/>
      <c r="H370" s="79">
        <f t="shared" si="21"/>
        <v>39.583333333333336</v>
      </c>
      <c r="I370" s="79">
        <f t="shared" si="22"/>
        <v>41800.000000000007</v>
      </c>
      <c r="K370" s="80">
        <f t="shared" si="23"/>
        <v>475000</v>
      </c>
    </row>
    <row r="371" spans="1:13" ht="15" x14ac:dyDescent="0.25">
      <c r="A371" s="77">
        <v>51318</v>
      </c>
      <c r="B371" s="78">
        <v>475000</v>
      </c>
      <c r="C371" s="78">
        <v>13062.5</v>
      </c>
      <c r="D371" s="78">
        <f>B371/12</f>
        <v>39583.333333333336</v>
      </c>
      <c r="E371" s="78">
        <f>C371/6</f>
        <v>2177.0833333333335</v>
      </c>
      <c r="F371" s="79">
        <f t="shared" si="20"/>
        <v>41760.416666666672</v>
      </c>
      <c r="G371" s="79"/>
      <c r="H371" s="79">
        <f t="shared" si="21"/>
        <v>0</v>
      </c>
      <c r="I371" s="79">
        <f t="shared" si="22"/>
        <v>41760.416666666672</v>
      </c>
      <c r="J371" s="78">
        <f>SUM(F360:F371)</f>
        <v>501125.00000000017</v>
      </c>
      <c r="K371" s="80">
        <f t="shared" si="23"/>
        <v>475000</v>
      </c>
    </row>
    <row r="372" spans="1:13" ht="15.75" thickBot="1" x14ac:dyDescent="0.3">
      <c r="B372" s="86">
        <f t="shared" ref="B372:J372" si="24">SUM(B7:B371)</f>
        <v>7355000</v>
      </c>
      <c r="C372" s="86">
        <f t="shared" si="24"/>
        <v>7894087.5</v>
      </c>
      <c r="D372" s="86">
        <f t="shared" si="24"/>
        <v>7354999.9999999981</v>
      </c>
      <c r="E372" s="86">
        <f t="shared" si="24"/>
        <v>7894087.4999999907</v>
      </c>
      <c r="F372" s="87">
        <f t="shared" si="24"/>
        <v>15249087.499999983</v>
      </c>
      <c r="G372" s="87"/>
      <c r="H372" s="87"/>
      <c r="I372" s="87"/>
      <c r="J372" s="86">
        <f t="shared" si="24"/>
        <v>15249087.5</v>
      </c>
      <c r="K372" s="80"/>
      <c r="M372" s="68" t="s">
        <v>39</v>
      </c>
    </row>
    <row r="374" spans="1:13" x14ac:dyDescent="0.2">
      <c r="F374" s="68" t="s">
        <v>39</v>
      </c>
    </row>
  </sheetData>
  <pageMargins left="0.75" right="0.75" top="1" bottom="1" header="0.5" footer="0.5"/>
  <pageSetup scale="46" fitToHeight="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1323-351A-4AA7-A1F2-C5D99400563F}">
  <sheetPr>
    <tabColor theme="4" tint="0.39997558519241921"/>
  </sheetPr>
  <dimension ref="A1:I264"/>
  <sheetViews>
    <sheetView topLeftCell="A190" workbookViewId="0">
      <selection activeCell="B210" sqref="B210"/>
    </sheetView>
  </sheetViews>
  <sheetFormatPr defaultRowHeight="15" x14ac:dyDescent="0.25"/>
  <cols>
    <col min="1" max="1" width="86.5703125" customWidth="1"/>
    <col min="2" max="3" width="18.85546875" customWidth="1"/>
    <col min="4" max="4" width="12.7109375" style="158" customWidth="1"/>
    <col min="5" max="5" width="28.28515625" customWidth="1"/>
  </cols>
  <sheetData>
    <row r="1" spans="1:6" ht="18" x14ac:dyDescent="0.25">
      <c r="A1" s="181" t="s">
        <v>175</v>
      </c>
      <c r="B1" s="182"/>
      <c r="C1" s="182"/>
    </row>
    <row r="2" spans="1:6" ht="18" x14ac:dyDescent="0.25">
      <c r="A2" s="181" t="s">
        <v>387</v>
      </c>
      <c r="B2" s="182"/>
      <c r="C2" s="182"/>
    </row>
    <row r="3" spans="1:6" x14ac:dyDescent="0.25">
      <c r="A3" s="183" t="s">
        <v>388</v>
      </c>
      <c r="B3" s="182"/>
      <c r="C3" s="182"/>
    </row>
    <row r="5" spans="1:6" x14ac:dyDescent="0.25">
      <c r="A5" s="57"/>
      <c r="B5" s="159" t="s">
        <v>389</v>
      </c>
      <c r="C5" s="159" t="s">
        <v>390</v>
      </c>
      <c r="D5" s="158" t="s">
        <v>391</v>
      </c>
    </row>
    <row r="6" spans="1:6" hidden="1" x14ac:dyDescent="0.25">
      <c r="A6" s="160" t="s">
        <v>392</v>
      </c>
      <c r="B6" s="161">
        <f>0</f>
        <v>0</v>
      </c>
      <c r="C6" s="162"/>
      <c r="D6" s="158">
        <v>0</v>
      </c>
      <c r="E6" t="str">
        <f>_xlfn.XLOOKUP(A6,'[2]Chart of Accounts Crosswalk'!N:N,'[2]Chart of Accounts Crosswalk'!O:O,"False",0,1)</f>
        <v>11.951.00.0000.8101.000.0000</v>
      </c>
      <c r="F6" t="s">
        <v>393</v>
      </c>
    </row>
    <row r="7" spans="1:6" hidden="1" x14ac:dyDescent="0.25">
      <c r="A7" s="160" t="s">
        <v>196</v>
      </c>
      <c r="B7" s="161">
        <f>2455480.66</f>
        <v>2455480.66</v>
      </c>
      <c r="C7" s="162"/>
      <c r="D7" s="158">
        <v>2455480.66</v>
      </c>
      <c r="E7" t="str">
        <f>_xlfn.XLOOKUP(A7,'[2]Chart of Accounts Crosswalk'!N:N,'[2]Chart of Accounts Crosswalk'!O:O,"False",0,1)</f>
        <v>11.951.10.0000.8101.000.0000</v>
      </c>
      <c r="F7" t="s">
        <v>393</v>
      </c>
    </row>
    <row r="8" spans="1:6" hidden="1" x14ac:dyDescent="0.25">
      <c r="A8" s="160" t="s">
        <v>394</v>
      </c>
      <c r="B8" s="161">
        <f>0</f>
        <v>0</v>
      </c>
      <c r="C8" s="162"/>
      <c r="D8" s="158">
        <v>0</v>
      </c>
      <c r="E8" t="str">
        <f>_xlfn.XLOOKUP(A8,'[2]Chart of Accounts Crosswalk'!N:N,'[2]Chart of Accounts Crosswalk'!O:O,"False",0,1)</f>
        <v>11.951.12.0000.8101.000.0000</v>
      </c>
      <c r="F8" t="s">
        <v>393</v>
      </c>
    </row>
    <row r="9" spans="1:6" hidden="1" x14ac:dyDescent="0.25">
      <c r="A9" s="160" t="s">
        <v>395</v>
      </c>
      <c r="B9" s="161">
        <f>0</f>
        <v>0</v>
      </c>
      <c r="C9" s="162"/>
      <c r="D9" s="158">
        <v>0</v>
      </c>
      <c r="E9" t="str">
        <f>_xlfn.XLOOKUP(A9,'[2]Chart of Accounts Crosswalk'!N:N,'[2]Chart of Accounts Crosswalk'!O:O,"False",0,1)</f>
        <v>11.951.01.0000.8101.000.0000</v>
      </c>
      <c r="F9" t="s">
        <v>393</v>
      </c>
    </row>
    <row r="10" spans="1:6" hidden="1" x14ac:dyDescent="0.25">
      <c r="A10" s="160" t="s">
        <v>396</v>
      </c>
      <c r="B10" s="161">
        <f>285055.1</f>
        <v>285055.09999999998</v>
      </c>
      <c r="C10" s="162"/>
      <c r="D10" s="158">
        <v>285055.09999999998</v>
      </c>
      <c r="E10" t="str">
        <f>_xlfn.XLOOKUP(A10,'[2]Chart of Accounts Crosswalk'!N:N,'[2]Chart of Accounts Crosswalk'!O:O,"False",0,1)</f>
        <v>11.951.11.0000.8101.000.0000</v>
      </c>
      <c r="F10" t="s">
        <v>393</v>
      </c>
    </row>
    <row r="11" spans="1:6" hidden="1" x14ac:dyDescent="0.25">
      <c r="A11" s="160" t="s">
        <v>397</v>
      </c>
      <c r="B11" s="161">
        <f>128249.98</f>
        <v>128249.98</v>
      </c>
      <c r="C11" s="162"/>
      <c r="D11" s="158">
        <v>128249.98</v>
      </c>
      <c r="E11" t="str">
        <f>_xlfn.XLOOKUP(A11,'[2]Chart of Accounts Crosswalk'!N:N,'[2]Chart of Accounts Crosswalk'!O:O,"False",0,1)</f>
        <v>11.951.02.0000.8101.000.0000</v>
      </c>
      <c r="F11" t="s">
        <v>393</v>
      </c>
    </row>
    <row r="12" spans="1:6" hidden="1" x14ac:dyDescent="0.25">
      <c r="A12" s="160" t="s">
        <v>398</v>
      </c>
      <c r="B12" s="161">
        <f>155989.09</f>
        <v>155989.09</v>
      </c>
      <c r="C12" s="162"/>
      <c r="D12" s="158">
        <v>155989.09</v>
      </c>
      <c r="E12" t="str">
        <f>_xlfn.XLOOKUP(A12,'[2]Chart of Accounts Crosswalk'!N:N,'[2]Chart of Accounts Crosswalk'!O:O,"False",0,1)</f>
        <v>11.951.05.0000.8101.000.0000</v>
      </c>
      <c r="F12" t="s">
        <v>393</v>
      </c>
    </row>
    <row r="13" spans="1:6" hidden="1" x14ac:dyDescent="0.25">
      <c r="A13" s="160" t="s">
        <v>399</v>
      </c>
      <c r="B13" s="161">
        <f>50</f>
        <v>50</v>
      </c>
      <c r="C13" s="162"/>
      <c r="D13" s="158">
        <v>50</v>
      </c>
      <c r="E13" t="str">
        <f>_xlfn.XLOOKUP(A13,'[2]Chart of Accounts Crosswalk'!N:N,'[2]Chart of Accounts Crosswalk'!O:O,"False",0,1)</f>
        <v>11.951.00.0000.8103.000.0000</v>
      </c>
      <c r="F13" t="s">
        <v>393</v>
      </c>
    </row>
    <row r="14" spans="1:6" hidden="1" x14ac:dyDescent="0.25">
      <c r="A14" s="160" t="s">
        <v>400</v>
      </c>
      <c r="B14" s="161">
        <f>565.47</f>
        <v>565.47</v>
      </c>
      <c r="C14" s="162"/>
      <c r="D14" s="158">
        <v>565.47</v>
      </c>
      <c r="E14" t="str">
        <f>_xlfn.XLOOKUP(A14,'[2]Chart of Accounts Crosswalk'!N:N,'[2]Chart of Accounts Crosswalk'!O:O,"False",0,1)</f>
        <v>11.951.25.0000.8103.000.0000</v>
      </c>
      <c r="F14" t="s">
        <v>393</v>
      </c>
    </row>
    <row r="15" spans="1:6" ht="15" hidden="1" customHeight="1" x14ac:dyDescent="0.25">
      <c r="A15" s="160" t="s">
        <v>401</v>
      </c>
      <c r="B15" s="161">
        <f>415</f>
        <v>415</v>
      </c>
      <c r="C15" s="162"/>
      <c r="D15" s="158">
        <v>415</v>
      </c>
      <c r="E15" t="str">
        <f>_xlfn.XLOOKUP(A15,'[2]Chart of Accounts Crosswalk'!N:N,'[2]Chart of Accounts Crosswalk'!O:O,"False",0,1)</f>
        <v>11.951.23.0000.8103.000.0000</v>
      </c>
      <c r="F15" t="s">
        <v>393</v>
      </c>
    </row>
    <row r="16" spans="1:6" ht="15" hidden="1" customHeight="1" x14ac:dyDescent="0.25">
      <c r="A16" s="160" t="s">
        <v>402</v>
      </c>
      <c r="B16" s="161">
        <f>50</f>
        <v>50</v>
      </c>
      <c r="C16" s="162"/>
      <c r="D16" s="158">
        <v>50</v>
      </c>
      <c r="E16" t="str">
        <f>_xlfn.XLOOKUP(A16,'[2]Chart of Accounts Crosswalk'!N:N,'[2]Chart of Accounts Crosswalk'!O:O,"False",0,1)</f>
        <v>11.951.31.0000.8103.000.0000</v>
      </c>
      <c r="F16" t="s">
        <v>393</v>
      </c>
    </row>
    <row r="17" spans="1:6" ht="15" hidden="1" customHeight="1" x14ac:dyDescent="0.25">
      <c r="A17" s="160" t="s">
        <v>403</v>
      </c>
      <c r="B17" s="161">
        <f>0</f>
        <v>0</v>
      </c>
      <c r="C17" s="162"/>
      <c r="D17" s="158">
        <v>0</v>
      </c>
      <c r="E17" t="str">
        <f>_xlfn.XLOOKUP(A17,'[2]Chart of Accounts Crosswalk'!N:N,'[2]Chart of Accounts Crosswalk'!O:O,"False",0,1)</f>
        <v>False</v>
      </c>
      <c r="F17" t="s">
        <v>393</v>
      </c>
    </row>
    <row r="18" spans="1:6" ht="15" hidden="1" customHeight="1" x14ac:dyDescent="0.25">
      <c r="A18" s="160" t="s">
        <v>404</v>
      </c>
      <c r="B18" s="161">
        <f>0</f>
        <v>0</v>
      </c>
      <c r="C18" s="162"/>
      <c r="D18" s="158">
        <v>0</v>
      </c>
      <c r="E18" t="str">
        <f>_xlfn.XLOOKUP(A18,'[2]Chart of Accounts Crosswalk'!N:N,'[2]Chart of Accounts Crosswalk'!O:O,"False",0,1)</f>
        <v>False</v>
      </c>
      <c r="F18" t="s">
        <v>393</v>
      </c>
    </row>
    <row r="19" spans="1:6" ht="15" hidden="1" customHeight="1" x14ac:dyDescent="0.25">
      <c r="A19" s="160" t="s">
        <v>405</v>
      </c>
      <c r="B19" s="161">
        <f>0</f>
        <v>0</v>
      </c>
      <c r="C19" s="162"/>
      <c r="D19" s="158">
        <v>0</v>
      </c>
      <c r="E19" t="str">
        <f>_xlfn.XLOOKUP(A19,'[2]Chart of Accounts Crosswalk'!N:N,'[2]Chart of Accounts Crosswalk'!O:O,"False",0,1)</f>
        <v>False</v>
      </c>
      <c r="F19" t="s">
        <v>393</v>
      </c>
    </row>
    <row r="20" spans="1:6" ht="15" hidden="1" customHeight="1" x14ac:dyDescent="0.25">
      <c r="A20" s="160" t="s">
        <v>406</v>
      </c>
      <c r="B20" s="161">
        <f>0</f>
        <v>0</v>
      </c>
      <c r="C20" s="162"/>
      <c r="D20" s="158">
        <v>0</v>
      </c>
      <c r="E20" t="str">
        <f>_xlfn.XLOOKUP(A20,'[2]Chart of Accounts Crosswalk'!N:N,'[2]Chart of Accounts Crosswalk'!O:O,"False",0,1)</f>
        <v>False</v>
      </c>
      <c r="F20" t="s">
        <v>393</v>
      </c>
    </row>
    <row r="21" spans="1:6" ht="15" hidden="1" customHeight="1" x14ac:dyDescent="0.25">
      <c r="A21" s="160" t="s">
        <v>407</v>
      </c>
      <c r="B21" s="161">
        <f>0</f>
        <v>0</v>
      </c>
      <c r="C21" s="162"/>
      <c r="D21" s="158">
        <v>0</v>
      </c>
      <c r="E21" t="str">
        <f>_xlfn.XLOOKUP(A21,'[2]Chart of Accounts Crosswalk'!N:N,'[2]Chart of Accounts Crosswalk'!O:O,"False",0,1)</f>
        <v>False</v>
      </c>
      <c r="F21" t="s">
        <v>393</v>
      </c>
    </row>
    <row r="22" spans="1:6" ht="15" hidden="1" customHeight="1" x14ac:dyDescent="0.25">
      <c r="A22" s="160" t="s">
        <v>408</v>
      </c>
      <c r="B22" s="161">
        <f>0</f>
        <v>0</v>
      </c>
      <c r="C22" s="162"/>
      <c r="D22" s="158">
        <v>0</v>
      </c>
      <c r="E22" t="str">
        <f>_xlfn.XLOOKUP(A22,'[2]Chart of Accounts Crosswalk'!N:N,'[2]Chart of Accounts Crosswalk'!O:O,"False",0,1)</f>
        <v>False</v>
      </c>
      <c r="F22" t="s">
        <v>393</v>
      </c>
    </row>
    <row r="23" spans="1:6" ht="15" hidden="1" customHeight="1" x14ac:dyDescent="0.25">
      <c r="A23" s="160" t="s">
        <v>409</v>
      </c>
      <c r="B23" s="161">
        <f>0</f>
        <v>0</v>
      </c>
      <c r="C23" s="162"/>
      <c r="D23" s="158">
        <v>0</v>
      </c>
      <c r="E23" t="str">
        <f>_xlfn.XLOOKUP(A23,'[2]Chart of Accounts Crosswalk'!N:N,'[2]Chart of Accounts Crosswalk'!O:O,"False",0,1)</f>
        <v>False</v>
      </c>
      <c r="F23" t="s">
        <v>393</v>
      </c>
    </row>
    <row r="24" spans="1:6" ht="15" hidden="1" customHeight="1" x14ac:dyDescent="0.25">
      <c r="A24" s="160" t="s">
        <v>410</v>
      </c>
      <c r="B24" s="161">
        <f>0</f>
        <v>0</v>
      </c>
      <c r="C24" s="162"/>
      <c r="D24" s="158">
        <v>0</v>
      </c>
      <c r="E24" t="str">
        <f>_xlfn.XLOOKUP(A24,'[2]Chart of Accounts Crosswalk'!N:N,'[2]Chart of Accounts Crosswalk'!O:O,"False",0,1)</f>
        <v>False</v>
      </c>
      <c r="F24" t="s">
        <v>393</v>
      </c>
    </row>
    <row r="25" spans="1:6" ht="15" hidden="1" customHeight="1" x14ac:dyDescent="0.25">
      <c r="A25" s="160" t="s">
        <v>411</v>
      </c>
      <c r="B25" s="161">
        <f>0</f>
        <v>0</v>
      </c>
      <c r="C25" s="162"/>
      <c r="D25" s="158">
        <v>0</v>
      </c>
      <c r="E25" t="str">
        <f>_xlfn.XLOOKUP(A25,'[2]Chart of Accounts Crosswalk'!N:N,'[2]Chart of Accounts Crosswalk'!O:O,"False",0,1)</f>
        <v>False</v>
      </c>
      <c r="F25" t="s">
        <v>393</v>
      </c>
    </row>
    <row r="26" spans="1:6" ht="15" hidden="1" customHeight="1" x14ac:dyDescent="0.25">
      <c r="A26" s="160" t="s">
        <v>412</v>
      </c>
      <c r="B26" s="161">
        <f>0</f>
        <v>0</v>
      </c>
      <c r="C26" s="162"/>
      <c r="D26" s="158">
        <v>0</v>
      </c>
      <c r="E26" t="str">
        <f>_xlfn.XLOOKUP(A26,'[2]Chart of Accounts Crosswalk'!N:N,'[2]Chart of Accounts Crosswalk'!O:O,"False",0,1)</f>
        <v>False</v>
      </c>
      <c r="F26" t="s">
        <v>393</v>
      </c>
    </row>
    <row r="27" spans="1:6" ht="15" hidden="1" customHeight="1" x14ac:dyDescent="0.25">
      <c r="A27" s="160" t="s">
        <v>413</v>
      </c>
      <c r="B27" s="161">
        <f>0</f>
        <v>0</v>
      </c>
      <c r="C27" s="162"/>
      <c r="D27" s="158">
        <v>0</v>
      </c>
      <c r="E27" t="str">
        <f>_xlfn.XLOOKUP(A27,'[2]Chart of Accounts Crosswalk'!N:N,'[2]Chart of Accounts Crosswalk'!O:O,"False",0,1)</f>
        <v>False</v>
      </c>
      <c r="F27" t="s">
        <v>393</v>
      </c>
    </row>
    <row r="28" spans="1:6" ht="15" hidden="1" customHeight="1" x14ac:dyDescent="0.25">
      <c r="A28" s="160" t="s">
        <v>414</v>
      </c>
      <c r="B28" s="161">
        <f>0</f>
        <v>0</v>
      </c>
      <c r="C28" s="162"/>
      <c r="D28" s="158">
        <v>0</v>
      </c>
      <c r="E28" t="str">
        <f>_xlfn.XLOOKUP(A28,'[2]Chart of Accounts Crosswalk'!N:N,'[2]Chart of Accounts Crosswalk'!O:O,"False",0,1)</f>
        <v>False</v>
      </c>
      <c r="F28" t="s">
        <v>393</v>
      </c>
    </row>
    <row r="29" spans="1:6" ht="15" hidden="1" customHeight="1" x14ac:dyDescent="0.25">
      <c r="A29" s="160" t="s">
        <v>415</v>
      </c>
      <c r="B29" s="161">
        <f>0</f>
        <v>0</v>
      </c>
      <c r="C29" s="162"/>
      <c r="D29" s="158">
        <v>0</v>
      </c>
      <c r="E29" t="str">
        <f>_xlfn.XLOOKUP(A29,'[2]Chart of Accounts Crosswalk'!N:N,'[2]Chart of Accounts Crosswalk'!O:O,"False",0,1)</f>
        <v>False</v>
      </c>
      <c r="F29" t="s">
        <v>393</v>
      </c>
    </row>
    <row r="30" spans="1:6" ht="15" hidden="1" customHeight="1" x14ac:dyDescent="0.25">
      <c r="A30" s="160" t="s">
        <v>416</v>
      </c>
      <c r="B30" s="161">
        <f>0</f>
        <v>0</v>
      </c>
      <c r="C30" s="162"/>
      <c r="D30" s="158">
        <v>0</v>
      </c>
      <c r="E30" t="str">
        <f>_xlfn.XLOOKUP(A30,'[2]Chart of Accounts Crosswalk'!N:N,'[2]Chart of Accounts Crosswalk'!O:O,"False",0,1)</f>
        <v>False</v>
      </c>
      <c r="F30" t="s">
        <v>393</v>
      </c>
    </row>
    <row r="31" spans="1:6" ht="15" hidden="1" customHeight="1" x14ac:dyDescent="0.25">
      <c r="A31" s="160" t="s">
        <v>417</v>
      </c>
      <c r="B31" s="161">
        <f>0</f>
        <v>0</v>
      </c>
      <c r="C31" s="162"/>
      <c r="D31" s="158">
        <v>0</v>
      </c>
      <c r="E31" t="str">
        <f>_xlfn.XLOOKUP(A31,'[2]Chart of Accounts Crosswalk'!N:N,'[2]Chart of Accounts Crosswalk'!O:O,"False",0,1)</f>
        <v>False</v>
      </c>
      <c r="F31" t="s">
        <v>393</v>
      </c>
    </row>
    <row r="32" spans="1:6" ht="15" hidden="1" customHeight="1" x14ac:dyDescent="0.25">
      <c r="A32" s="160" t="s">
        <v>418</v>
      </c>
      <c r="B32" s="161">
        <f>0</f>
        <v>0</v>
      </c>
      <c r="C32" s="162"/>
      <c r="D32" s="158">
        <v>0</v>
      </c>
      <c r="E32" t="str">
        <f>_xlfn.XLOOKUP(A32,'[2]Chart of Accounts Crosswalk'!N:N,'[2]Chart of Accounts Crosswalk'!O:O,"False",0,1)</f>
        <v>False</v>
      </c>
      <c r="F32" t="s">
        <v>393</v>
      </c>
    </row>
    <row r="33" spans="1:6" ht="15" hidden="1" customHeight="1" x14ac:dyDescent="0.25">
      <c r="A33" s="160" t="s">
        <v>419</v>
      </c>
      <c r="B33" s="161">
        <f>0</f>
        <v>0</v>
      </c>
      <c r="C33" s="162"/>
      <c r="D33" s="158">
        <v>0</v>
      </c>
      <c r="E33" t="str">
        <f>_xlfn.XLOOKUP(A33,'[2]Chart of Accounts Crosswalk'!N:N,'[2]Chart of Accounts Crosswalk'!O:O,"False",0,1)</f>
        <v>False</v>
      </c>
      <c r="F33" t="s">
        <v>393</v>
      </c>
    </row>
    <row r="34" spans="1:6" ht="15" hidden="1" customHeight="1" x14ac:dyDescent="0.25">
      <c r="A34" s="160" t="s">
        <v>420</v>
      </c>
      <c r="B34" s="162">
        <f>-C34</f>
        <v>-999.2</v>
      </c>
      <c r="C34" s="161">
        <f>999.2</f>
        <v>999.2</v>
      </c>
      <c r="D34" s="158">
        <v>-999.2</v>
      </c>
      <c r="E34" t="s">
        <v>421</v>
      </c>
      <c r="F34" t="s">
        <v>393</v>
      </c>
    </row>
    <row r="35" spans="1:6" ht="15" hidden="1" customHeight="1" x14ac:dyDescent="0.25">
      <c r="A35" s="160" t="s">
        <v>422</v>
      </c>
      <c r="B35" s="161">
        <f>0</f>
        <v>0</v>
      </c>
      <c r="C35" s="162"/>
      <c r="D35" s="158">
        <v>0</v>
      </c>
      <c r="E35" t="str">
        <f>_xlfn.XLOOKUP(A35,'[2]Chart of Accounts Crosswalk'!N:N,'[2]Chart of Accounts Crosswalk'!O:O,"False",0,1)</f>
        <v>False</v>
      </c>
      <c r="F35" t="s">
        <v>393</v>
      </c>
    </row>
    <row r="36" spans="1:6" ht="15" hidden="1" customHeight="1" x14ac:dyDescent="0.25">
      <c r="A36" s="160" t="s">
        <v>423</v>
      </c>
      <c r="B36" s="161">
        <f>0</f>
        <v>0</v>
      </c>
      <c r="C36" s="162"/>
      <c r="D36" s="158">
        <v>0</v>
      </c>
      <c r="E36" t="str">
        <f>_xlfn.XLOOKUP(A36,'[2]Chart of Accounts Crosswalk'!N:N,'[2]Chart of Accounts Crosswalk'!O:O,"False",0,1)</f>
        <v>False</v>
      </c>
      <c r="F36" t="s">
        <v>393</v>
      </c>
    </row>
    <row r="37" spans="1:6" ht="15" hidden="1" customHeight="1" x14ac:dyDescent="0.25">
      <c r="A37" s="160" t="s">
        <v>424</v>
      </c>
      <c r="B37" s="161">
        <f>0</f>
        <v>0</v>
      </c>
      <c r="C37" s="162"/>
      <c r="D37" s="158">
        <v>0</v>
      </c>
      <c r="E37" t="str">
        <f>_xlfn.XLOOKUP(A37,'[2]Chart of Accounts Crosswalk'!N:N,'[2]Chart of Accounts Crosswalk'!O:O,"False",0,1)</f>
        <v>False</v>
      </c>
      <c r="F37" t="s">
        <v>393</v>
      </c>
    </row>
    <row r="38" spans="1:6" ht="15" hidden="1" customHeight="1" x14ac:dyDescent="0.25">
      <c r="A38" s="160" t="s">
        <v>425</v>
      </c>
      <c r="B38" s="161">
        <f>53032.1</f>
        <v>53032.1</v>
      </c>
      <c r="C38" s="162"/>
      <c r="D38" s="158">
        <v>53032.1</v>
      </c>
      <c r="E38" t="s">
        <v>426</v>
      </c>
      <c r="F38" t="s">
        <v>393</v>
      </c>
    </row>
    <row r="39" spans="1:6" ht="15" hidden="1" customHeight="1" x14ac:dyDescent="0.25">
      <c r="A39" s="160" t="s">
        <v>427</v>
      </c>
      <c r="B39" s="161">
        <f>0</f>
        <v>0</v>
      </c>
      <c r="C39" s="162"/>
      <c r="D39" s="158">
        <v>0</v>
      </c>
      <c r="E39" t="str">
        <f>_xlfn.XLOOKUP(A39,'[2]Chart of Accounts Crosswalk'!N:N,'[2]Chart of Accounts Crosswalk'!O:O,"False",0,1)</f>
        <v>False</v>
      </c>
    </row>
    <row r="40" spans="1:6" ht="15" hidden="1" customHeight="1" x14ac:dyDescent="0.25">
      <c r="A40" s="160" t="s">
        <v>428</v>
      </c>
      <c r="B40" s="161">
        <f>0</f>
        <v>0</v>
      </c>
      <c r="C40" s="162"/>
      <c r="D40" s="158">
        <v>0</v>
      </c>
      <c r="E40" t="str">
        <f>_xlfn.XLOOKUP(A40,'[2]Chart of Accounts Crosswalk'!N:N,'[2]Chart of Accounts Crosswalk'!O:O,"False",0,1)</f>
        <v>False</v>
      </c>
    </row>
    <row r="41" spans="1:6" ht="15" hidden="1" customHeight="1" x14ac:dyDescent="0.25">
      <c r="A41" s="160" t="s">
        <v>429</v>
      </c>
      <c r="B41" s="161">
        <f>1200</f>
        <v>1200</v>
      </c>
      <c r="C41" s="162"/>
      <c r="D41" s="158">
        <v>1200</v>
      </c>
      <c r="E41" t="s">
        <v>430</v>
      </c>
      <c r="F41" t="s">
        <v>393</v>
      </c>
    </row>
    <row r="42" spans="1:6" ht="15" hidden="1" customHeight="1" x14ac:dyDescent="0.25">
      <c r="A42" s="160" t="s">
        <v>431</v>
      </c>
      <c r="B42" s="161">
        <f>0</f>
        <v>0</v>
      </c>
      <c r="C42" s="162"/>
      <c r="D42" s="158">
        <v>0</v>
      </c>
      <c r="E42" t="str">
        <f>_xlfn.XLOOKUP(A42,'[2]Chart of Accounts Crosswalk'!N:N,'[2]Chart of Accounts Crosswalk'!O:O,"False",0,1)</f>
        <v>False</v>
      </c>
    </row>
    <row r="43" spans="1:6" ht="15" hidden="1" customHeight="1" x14ac:dyDescent="0.25">
      <c r="A43" s="160" t="s">
        <v>432</v>
      </c>
      <c r="B43" s="161">
        <f>0</f>
        <v>0</v>
      </c>
      <c r="C43" s="162"/>
      <c r="D43" s="158">
        <v>0</v>
      </c>
      <c r="E43" t="str">
        <f>_xlfn.XLOOKUP(A43,'[2]Chart of Accounts Crosswalk'!N:N,'[2]Chart of Accounts Crosswalk'!O:O,"False",0,1)</f>
        <v>False</v>
      </c>
    </row>
    <row r="44" spans="1:6" ht="15" hidden="1" customHeight="1" x14ac:dyDescent="0.25">
      <c r="A44" s="160" t="s">
        <v>433</v>
      </c>
      <c r="B44" s="161">
        <f>0</f>
        <v>0</v>
      </c>
      <c r="C44" s="162"/>
      <c r="D44" s="158">
        <v>0</v>
      </c>
      <c r="E44" t="str">
        <f>_xlfn.XLOOKUP(A44,'[2]Chart of Accounts Crosswalk'!N:N,'[2]Chart of Accounts Crosswalk'!O:O,"False",0,1)</f>
        <v>False</v>
      </c>
    </row>
    <row r="45" spans="1:6" ht="15" hidden="1" customHeight="1" x14ac:dyDescent="0.25">
      <c r="A45" s="160" t="s">
        <v>434</v>
      </c>
      <c r="B45" s="161">
        <f>0</f>
        <v>0</v>
      </c>
      <c r="C45" s="162"/>
      <c r="D45" s="158">
        <v>0</v>
      </c>
      <c r="E45" t="str">
        <f>_xlfn.XLOOKUP(A45,'[2]Chart of Accounts Crosswalk'!N:N,'[2]Chart of Accounts Crosswalk'!O:O,"False",0,1)</f>
        <v>False</v>
      </c>
    </row>
    <row r="46" spans="1:6" ht="15" hidden="1" customHeight="1" x14ac:dyDescent="0.25">
      <c r="A46" s="160" t="s">
        <v>435</v>
      </c>
      <c r="B46" s="161">
        <f>0</f>
        <v>0</v>
      </c>
      <c r="C46" s="162"/>
      <c r="D46" s="158">
        <v>0</v>
      </c>
      <c r="E46" t="str">
        <f>_xlfn.XLOOKUP(A46,'[2]Chart of Accounts Crosswalk'!N:N,'[2]Chart of Accounts Crosswalk'!O:O,"False",0,1)</f>
        <v>False</v>
      </c>
    </row>
    <row r="47" spans="1:6" ht="15" hidden="1" customHeight="1" x14ac:dyDescent="0.25">
      <c r="A47" s="160" t="s">
        <v>436</v>
      </c>
      <c r="B47" s="161">
        <f>0</f>
        <v>0</v>
      </c>
      <c r="C47" s="162"/>
      <c r="D47" s="158">
        <v>0</v>
      </c>
      <c r="E47" t="str">
        <f>_xlfn.XLOOKUP(A47,'[2]Chart of Accounts Crosswalk'!N:N,'[2]Chart of Accounts Crosswalk'!O:O,"False",0,1)</f>
        <v>False</v>
      </c>
    </row>
    <row r="48" spans="1:6" ht="15" hidden="1" customHeight="1" x14ac:dyDescent="0.25">
      <c r="A48" s="160" t="s">
        <v>437</v>
      </c>
      <c r="B48" s="161">
        <f>0</f>
        <v>0</v>
      </c>
      <c r="C48" s="162"/>
      <c r="D48" s="158">
        <v>0</v>
      </c>
      <c r="E48" t="str">
        <f>_xlfn.XLOOKUP(A48,'[2]Chart of Accounts Crosswalk'!N:N,'[2]Chart of Accounts Crosswalk'!O:O,"False",0,1)</f>
        <v>False</v>
      </c>
    </row>
    <row r="49" spans="1:6" ht="15" hidden="1" customHeight="1" x14ac:dyDescent="0.25">
      <c r="A49" s="160" t="s">
        <v>438</v>
      </c>
      <c r="B49" s="161">
        <f>0</f>
        <v>0</v>
      </c>
      <c r="C49" s="162"/>
      <c r="D49" s="158">
        <v>0</v>
      </c>
      <c r="E49" t="str">
        <f>_xlfn.XLOOKUP(A49,'[2]Chart of Accounts Crosswalk'!N:N,'[2]Chart of Accounts Crosswalk'!O:O,"False",0,1)</f>
        <v>False</v>
      </c>
    </row>
    <row r="50" spans="1:6" ht="15" hidden="1" customHeight="1" x14ac:dyDescent="0.25">
      <c r="A50" s="160" t="s">
        <v>439</v>
      </c>
      <c r="B50" s="161">
        <f>0</f>
        <v>0</v>
      </c>
      <c r="C50" s="162"/>
      <c r="D50" s="158">
        <v>0</v>
      </c>
      <c r="E50" t="str">
        <f>_xlfn.XLOOKUP(A50,'[2]Chart of Accounts Crosswalk'!N:N,'[2]Chart of Accounts Crosswalk'!O:O,"False",0,1)</f>
        <v>False</v>
      </c>
    </row>
    <row r="51" spans="1:6" ht="15" hidden="1" customHeight="1" x14ac:dyDescent="0.25">
      <c r="A51" s="160" t="s">
        <v>440</v>
      </c>
      <c r="B51" s="161">
        <f>0</f>
        <v>0</v>
      </c>
      <c r="C51" s="162"/>
      <c r="D51" s="158">
        <v>0</v>
      </c>
      <c r="E51" t="str">
        <f>_xlfn.XLOOKUP(A51,'[2]Chart of Accounts Crosswalk'!N:N,'[2]Chart of Accounts Crosswalk'!O:O,"False",0,1)</f>
        <v>False</v>
      </c>
    </row>
    <row r="52" spans="1:6" ht="15" hidden="1" customHeight="1" x14ac:dyDescent="0.25">
      <c r="A52" s="160" t="s">
        <v>441</v>
      </c>
      <c r="B52" s="162">
        <f>-C52</f>
        <v>-318748.12</v>
      </c>
      <c r="C52" s="161">
        <f>318748.12</f>
        <v>318748.12</v>
      </c>
      <c r="D52" s="158">
        <v>-318748.12</v>
      </c>
      <c r="E52" t="str">
        <f>_xlfn.XLOOKUP(A52,'[2]Chart of Accounts Crosswalk'!N:N,'[2]Chart of Accounts Crosswalk'!O:O,"False",0,1)</f>
        <v>11.951.00.0000.7421.000.0000</v>
      </c>
      <c r="F52" t="s">
        <v>442</v>
      </c>
    </row>
    <row r="53" spans="1:6" ht="15" hidden="1" customHeight="1" x14ac:dyDescent="0.25">
      <c r="A53" s="160" t="s">
        <v>202</v>
      </c>
      <c r="B53" s="161">
        <f>51483.63</f>
        <v>51483.63</v>
      </c>
      <c r="C53" s="162"/>
      <c r="D53" s="158">
        <v>51483.63</v>
      </c>
      <c r="E53" t="s">
        <v>443</v>
      </c>
      <c r="F53" t="s">
        <v>442</v>
      </c>
    </row>
    <row r="54" spans="1:6" ht="15" hidden="1" customHeight="1" x14ac:dyDescent="0.25">
      <c r="A54" s="160" t="s">
        <v>444</v>
      </c>
      <c r="B54" s="162"/>
      <c r="C54" s="161">
        <f>0</f>
        <v>0</v>
      </c>
      <c r="E54" t="str">
        <f>_xlfn.XLOOKUP(A54,'[2]Chart of Accounts Crosswalk'!N:N,'[2]Chart of Accounts Crosswalk'!O:O,"False",0,1)</f>
        <v>False</v>
      </c>
      <c r="F54" t="s">
        <v>442</v>
      </c>
    </row>
    <row r="55" spans="1:6" ht="15" hidden="1" customHeight="1" x14ac:dyDescent="0.25">
      <c r="A55" s="160" t="s">
        <v>445</v>
      </c>
      <c r="B55" s="162"/>
      <c r="C55" s="161">
        <f>0</f>
        <v>0</v>
      </c>
      <c r="E55" t="str">
        <f>_xlfn.XLOOKUP(A55,'[2]Chart of Accounts Crosswalk'!N:N,'[2]Chart of Accounts Crosswalk'!O:O,"False",0,1)</f>
        <v>False</v>
      </c>
      <c r="F55" t="s">
        <v>442</v>
      </c>
    </row>
    <row r="56" spans="1:6" ht="15" hidden="1" customHeight="1" x14ac:dyDescent="0.25">
      <c r="A56" s="160" t="s">
        <v>446</v>
      </c>
      <c r="B56" s="162"/>
      <c r="C56" s="161">
        <f>0</f>
        <v>0</v>
      </c>
      <c r="E56" t="str">
        <f>_xlfn.XLOOKUP(A56,'[2]Chart of Accounts Crosswalk'!N:N,'[2]Chart of Accounts Crosswalk'!O:O,"False",0,1)</f>
        <v>False</v>
      </c>
      <c r="F56" t="s">
        <v>442</v>
      </c>
    </row>
    <row r="57" spans="1:6" ht="15" hidden="1" customHeight="1" x14ac:dyDescent="0.25">
      <c r="A57" s="160" t="s">
        <v>447</v>
      </c>
      <c r="B57" s="162"/>
      <c r="C57" s="161">
        <f>0</f>
        <v>0</v>
      </c>
      <c r="E57" t="str">
        <f>_xlfn.XLOOKUP(A57,'[2]Chart of Accounts Crosswalk'!N:N,'[2]Chart of Accounts Crosswalk'!O:O,"False",0,1)</f>
        <v>False</v>
      </c>
      <c r="F57" t="s">
        <v>442</v>
      </c>
    </row>
    <row r="58" spans="1:6" ht="15" hidden="1" customHeight="1" x14ac:dyDescent="0.25">
      <c r="A58" s="160" t="s">
        <v>266</v>
      </c>
      <c r="B58" s="162"/>
      <c r="C58" s="161">
        <f>0</f>
        <v>0</v>
      </c>
      <c r="E58" t="str">
        <f>_xlfn.XLOOKUP(A58,'[2]Chart of Accounts Crosswalk'!N:N,'[2]Chart of Accounts Crosswalk'!O:O,"False",0,1)</f>
        <v>False</v>
      </c>
      <c r="F58" t="s">
        <v>442</v>
      </c>
    </row>
    <row r="59" spans="1:6" ht="15" hidden="1" customHeight="1" x14ac:dyDescent="0.25">
      <c r="A59" s="160" t="s">
        <v>448</v>
      </c>
      <c r="B59" s="162">
        <f>-C59</f>
        <v>-29120.91</v>
      </c>
      <c r="C59" s="161">
        <f>29120.91</f>
        <v>29120.91</v>
      </c>
      <c r="D59" s="158">
        <v>-29120.91</v>
      </c>
      <c r="E59" t="str">
        <f>_xlfn.XLOOKUP(A59,'[2]Chart of Accounts Crosswalk'!N:N,'[2]Chart of Accounts Crosswalk'!O:O,"False",0,1)</f>
        <v>11.951.00.0000.7461.000.0000</v>
      </c>
      <c r="F59" t="s">
        <v>442</v>
      </c>
    </row>
    <row r="60" spans="1:6" ht="15" hidden="1" customHeight="1" x14ac:dyDescent="0.25">
      <c r="A60" s="160" t="s">
        <v>449</v>
      </c>
      <c r="B60" s="162">
        <f>-C60</f>
        <v>-99867.8</v>
      </c>
      <c r="C60" s="161">
        <f>99867.8</f>
        <v>99867.8</v>
      </c>
      <c r="D60" s="158">
        <v>-99867.8</v>
      </c>
      <c r="E60" t="s">
        <v>450</v>
      </c>
      <c r="F60" t="s">
        <v>442</v>
      </c>
    </row>
    <row r="61" spans="1:6" ht="15" hidden="1" customHeight="1" x14ac:dyDescent="0.25">
      <c r="A61" s="160" t="s">
        <v>451</v>
      </c>
      <c r="B61" s="161">
        <f>9187.34</f>
        <v>9187.34</v>
      </c>
      <c r="C61" s="162"/>
      <c r="D61" s="158">
        <v>9187.34</v>
      </c>
      <c r="E61" t="s">
        <v>450</v>
      </c>
      <c r="F61" t="s">
        <v>442</v>
      </c>
    </row>
    <row r="62" spans="1:6" ht="15" hidden="1" customHeight="1" x14ac:dyDescent="0.25">
      <c r="A62" s="160" t="s">
        <v>452</v>
      </c>
      <c r="B62" s="162">
        <v>0</v>
      </c>
      <c r="C62" s="161">
        <f>0</f>
        <v>0</v>
      </c>
      <c r="D62" s="158">
        <v>0</v>
      </c>
      <c r="E62" t="str">
        <f>_xlfn.XLOOKUP(A62,'[2]Chart of Accounts Crosswalk'!N:N,'[2]Chart of Accounts Crosswalk'!O:O,"False",0,1)</f>
        <v>11.951.00.0000.7471.000.0000</v>
      </c>
      <c r="F62" t="s">
        <v>442</v>
      </c>
    </row>
    <row r="63" spans="1:6" ht="15" hidden="1" customHeight="1" x14ac:dyDescent="0.25">
      <c r="A63" s="160" t="s">
        <v>453</v>
      </c>
      <c r="B63" s="162"/>
      <c r="C63" s="161">
        <f>0</f>
        <v>0</v>
      </c>
      <c r="E63" t="str">
        <f>_xlfn.XLOOKUP(A63,'[2]Chart of Accounts Crosswalk'!N:N,'[2]Chart of Accounts Crosswalk'!O:O,"False",0,1)</f>
        <v>False</v>
      </c>
      <c r="F63" t="s">
        <v>442</v>
      </c>
    </row>
    <row r="64" spans="1:6" ht="15" hidden="1" customHeight="1" x14ac:dyDescent="0.25">
      <c r="A64" s="160" t="s">
        <v>454</v>
      </c>
      <c r="B64" s="161">
        <f>37.2</f>
        <v>37.200000000000003</v>
      </c>
      <c r="C64" s="162"/>
      <c r="D64" s="158">
        <v>37.200000000000003</v>
      </c>
      <c r="E64" t="s">
        <v>455</v>
      </c>
      <c r="F64" t="s">
        <v>442</v>
      </c>
    </row>
    <row r="65" spans="1:6" ht="15" hidden="1" customHeight="1" x14ac:dyDescent="0.25">
      <c r="A65" s="160" t="s">
        <v>456</v>
      </c>
      <c r="B65" s="162"/>
      <c r="C65" s="161">
        <f>0</f>
        <v>0</v>
      </c>
      <c r="E65" t="str">
        <f>_xlfn.XLOOKUP(A65,'[2]Chart of Accounts Crosswalk'!N:N,'[2]Chart of Accounts Crosswalk'!O:O,"False",0,1)</f>
        <v>False</v>
      </c>
      <c r="F65" t="s">
        <v>442</v>
      </c>
    </row>
    <row r="66" spans="1:6" ht="15" hidden="1" customHeight="1" x14ac:dyDescent="0.25">
      <c r="A66" s="160" t="s">
        <v>457</v>
      </c>
      <c r="B66" s="162"/>
      <c r="C66" s="161">
        <f>0</f>
        <v>0</v>
      </c>
      <c r="E66" t="str">
        <f>_xlfn.XLOOKUP(A66,'[2]Chart of Accounts Crosswalk'!N:N,'[2]Chart of Accounts Crosswalk'!O:O,"False",0,1)</f>
        <v>False</v>
      </c>
      <c r="F66" t="s">
        <v>442</v>
      </c>
    </row>
    <row r="67" spans="1:6" ht="15" hidden="1" customHeight="1" x14ac:dyDescent="0.25">
      <c r="A67" s="160" t="s">
        <v>458</v>
      </c>
      <c r="B67" s="162"/>
      <c r="C67" s="161">
        <f>0</f>
        <v>0</v>
      </c>
      <c r="E67" t="str">
        <f>_xlfn.XLOOKUP(A67,'[2]Chart of Accounts Crosswalk'!N:N,'[2]Chart of Accounts Crosswalk'!O:O,"False",0,1)</f>
        <v>False</v>
      </c>
      <c r="F67" t="s">
        <v>442</v>
      </c>
    </row>
    <row r="68" spans="1:6" ht="15" hidden="1" customHeight="1" x14ac:dyDescent="0.25">
      <c r="A68" s="160" t="s">
        <v>459</v>
      </c>
      <c r="B68" s="162"/>
      <c r="C68" s="161">
        <f>0</f>
        <v>0</v>
      </c>
      <c r="E68" t="str">
        <f>_xlfn.XLOOKUP(A68,'[2]Chart of Accounts Crosswalk'!N:N,'[2]Chart of Accounts Crosswalk'!O:O,"False",0,1)</f>
        <v>False</v>
      </c>
      <c r="F68" t="s">
        <v>442</v>
      </c>
    </row>
    <row r="69" spans="1:6" ht="15" hidden="1" customHeight="1" x14ac:dyDescent="0.25">
      <c r="A69" s="160" t="s">
        <v>460</v>
      </c>
      <c r="B69" s="162"/>
      <c r="C69" s="161">
        <f>0</f>
        <v>0</v>
      </c>
      <c r="E69" t="str">
        <f>_xlfn.XLOOKUP(A69,'[2]Chart of Accounts Crosswalk'!N:N,'[2]Chart of Accounts Crosswalk'!O:O,"False",0,1)</f>
        <v>False</v>
      </c>
      <c r="F69" t="s">
        <v>442</v>
      </c>
    </row>
    <row r="70" spans="1:6" ht="15" hidden="1" customHeight="1" x14ac:dyDescent="0.25">
      <c r="A70" s="160" t="s">
        <v>461</v>
      </c>
      <c r="B70" s="162"/>
      <c r="C70" s="161">
        <f>0</f>
        <v>0</v>
      </c>
      <c r="E70" t="str">
        <f>_xlfn.XLOOKUP(A70,'[2]Chart of Accounts Crosswalk'!N:N,'[2]Chart of Accounts Crosswalk'!O:O,"False",0,1)</f>
        <v>False</v>
      </c>
      <c r="F70" t="s">
        <v>442</v>
      </c>
    </row>
    <row r="71" spans="1:6" ht="15" hidden="1" customHeight="1" x14ac:dyDescent="0.25">
      <c r="A71" s="160" t="s">
        <v>462</v>
      </c>
      <c r="B71" s="162">
        <f>-C71</f>
        <v>-37.200000000000003</v>
      </c>
      <c r="C71" s="161">
        <f>37.2</f>
        <v>37.200000000000003</v>
      </c>
      <c r="D71" s="158">
        <v>-37.200000000000003</v>
      </c>
      <c r="E71" t="s">
        <v>455</v>
      </c>
      <c r="F71" t="s">
        <v>442</v>
      </c>
    </row>
    <row r="72" spans="1:6" ht="15" hidden="1" customHeight="1" x14ac:dyDescent="0.25">
      <c r="A72" s="160" t="s">
        <v>463</v>
      </c>
      <c r="B72" s="162">
        <f t="shared" ref="B72:B84" si="0">-C72</f>
        <v>0</v>
      </c>
      <c r="C72" s="161">
        <f>0</f>
        <v>0</v>
      </c>
      <c r="D72" s="158">
        <v>0</v>
      </c>
      <c r="E72" t="str">
        <f>_xlfn.XLOOKUP(A72,'[2]Chart of Accounts Crosswalk'!N:N,'[2]Chart of Accounts Crosswalk'!O:O,"False",0,1)</f>
        <v>False</v>
      </c>
      <c r="F72" t="s">
        <v>442</v>
      </c>
    </row>
    <row r="73" spans="1:6" ht="15" hidden="1" customHeight="1" x14ac:dyDescent="0.25">
      <c r="A73" s="160" t="s">
        <v>464</v>
      </c>
      <c r="B73" s="162">
        <f t="shared" si="0"/>
        <v>0</v>
      </c>
      <c r="C73" s="161">
        <f>0</f>
        <v>0</v>
      </c>
      <c r="D73" s="158">
        <v>0</v>
      </c>
      <c r="E73" t="str">
        <f>_xlfn.XLOOKUP(A73,'[2]Chart of Accounts Crosswalk'!N:N,'[2]Chart of Accounts Crosswalk'!O:O,"False",0,1)</f>
        <v>False</v>
      </c>
      <c r="F73" t="s">
        <v>442</v>
      </c>
    </row>
    <row r="74" spans="1:6" ht="15" hidden="1" customHeight="1" x14ac:dyDescent="0.25">
      <c r="A74" s="160" t="s">
        <v>465</v>
      </c>
      <c r="B74" s="162">
        <f t="shared" si="0"/>
        <v>0</v>
      </c>
      <c r="C74" s="161">
        <f>0</f>
        <v>0</v>
      </c>
      <c r="D74" s="158">
        <v>0</v>
      </c>
      <c r="E74" t="str">
        <f>_xlfn.XLOOKUP(A74,'[2]Chart of Accounts Crosswalk'!N:N,'[2]Chart of Accounts Crosswalk'!O:O,"False",0,1)</f>
        <v>False</v>
      </c>
      <c r="F74" t="s">
        <v>442</v>
      </c>
    </row>
    <row r="75" spans="1:6" ht="15" hidden="1" customHeight="1" x14ac:dyDescent="0.25">
      <c r="A75" s="160" t="s">
        <v>466</v>
      </c>
      <c r="B75" s="162">
        <f t="shared" si="0"/>
        <v>0</v>
      </c>
      <c r="C75" s="161">
        <f>0</f>
        <v>0</v>
      </c>
      <c r="D75" s="158">
        <v>0</v>
      </c>
      <c r="E75" t="str">
        <f>_xlfn.XLOOKUP(A75,'[2]Chart of Accounts Crosswalk'!N:N,'[2]Chart of Accounts Crosswalk'!O:O,"False",0,1)</f>
        <v>11.951.00.0000.7481.000.0000</v>
      </c>
      <c r="F75" t="s">
        <v>442</v>
      </c>
    </row>
    <row r="76" spans="1:6" ht="15" hidden="1" customHeight="1" x14ac:dyDescent="0.25">
      <c r="A76" s="160" t="s">
        <v>467</v>
      </c>
      <c r="B76" s="162">
        <f t="shared" si="0"/>
        <v>0</v>
      </c>
      <c r="C76" s="161">
        <f>0</f>
        <v>0</v>
      </c>
      <c r="D76" s="158">
        <v>0</v>
      </c>
      <c r="E76" t="str">
        <f>_xlfn.XLOOKUP(A76,'[2]Chart of Accounts Crosswalk'!N:N,'[2]Chart of Accounts Crosswalk'!O:O,"False",0,1)</f>
        <v>False</v>
      </c>
      <c r="F76" t="s">
        <v>442</v>
      </c>
    </row>
    <row r="77" spans="1:6" ht="15" hidden="1" customHeight="1" x14ac:dyDescent="0.25">
      <c r="A77" s="160" t="s">
        <v>468</v>
      </c>
      <c r="B77" s="162">
        <f t="shared" si="0"/>
        <v>-2538.4499999999998</v>
      </c>
      <c r="C77" s="161">
        <f>2538.45</f>
        <v>2538.4499999999998</v>
      </c>
      <c r="D77" s="158">
        <v>-2538.4499999999998</v>
      </c>
      <c r="E77" t="s">
        <v>469</v>
      </c>
      <c r="F77" t="s">
        <v>442</v>
      </c>
    </row>
    <row r="78" spans="1:6" ht="15" hidden="1" customHeight="1" x14ac:dyDescent="0.25">
      <c r="A78" s="160" t="s">
        <v>470</v>
      </c>
      <c r="B78" s="162">
        <f t="shared" si="0"/>
        <v>0</v>
      </c>
      <c r="C78" s="161">
        <f>0</f>
        <v>0</v>
      </c>
      <c r="D78" s="158">
        <v>0</v>
      </c>
      <c r="E78" t="str">
        <f>_xlfn.XLOOKUP(A78,'[2]Chart of Accounts Crosswalk'!N:N,'[2]Chart of Accounts Crosswalk'!O:O,"False",0,1)</f>
        <v>False</v>
      </c>
      <c r="F78" t="s">
        <v>442</v>
      </c>
    </row>
    <row r="79" spans="1:6" ht="15" hidden="1" customHeight="1" x14ac:dyDescent="0.25">
      <c r="A79" s="160" t="s">
        <v>471</v>
      </c>
      <c r="B79" s="162">
        <f t="shared" si="0"/>
        <v>0</v>
      </c>
      <c r="C79" s="161">
        <f>0</f>
        <v>0</v>
      </c>
      <c r="D79" s="158">
        <v>0</v>
      </c>
      <c r="E79" t="str">
        <f>_xlfn.XLOOKUP(A79,'[2]Chart of Accounts Crosswalk'!N:N,'[2]Chart of Accounts Crosswalk'!O:O,"False",0,1)</f>
        <v>False</v>
      </c>
    </row>
    <row r="80" spans="1:6" ht="15" hidden="1" customHeight="1" x14ac:dyDescent="0.25">
      <c r="A80" s="160" t="s">
        <v>472</v>
      </c>
      <c r="B80" s="162">
        <f t="shared" si="0"/>
        <v>0</v>
      </c>
      <c r="C80" s="161"/>
      <c r="D80" s="158">
        <v>0</v>
      </c>
    </row>
    <row r="81" spans="1:6" ht="15" hidden="1" customHeight="1" x14ac:dyDescent="0.25">
      <c r="A81" s="160" t="s">
        <v>473</v>
      </c>
      <c r="B81" s="162">
        <f t="shared" si="0"/>
        <v>0</v>
      </c>
      <c r="C81" s="161">
        <f>0</f>
        <v>0</v>
      </c>
      <c r="D81" s="158">
        <v>0</v>
      </c>
      <c r="E81" t="str">
        <f>_xlfn.XLOOKUP(A81,'[2]Chart of Accounts Crosswalk'!N:N,'[2]Chart of Accounts Crosswalk'!O:O,"False",0,1)</f>
        <v>False</v>
      </c>
    </row>
    <row r="82" spans="1:6" ht="15" hidden="1" customHeight="1" x14ac:dyDescent="0.25">
      <c r="A82" s="160" t="s">
        <v>474</v>
      </c>
      <c r="B82" s="162">
        <f t="shared" si="0"/>
        <v>-2090965.32</v>
      </c>
      <c r="C82" s="161">
        <f>2090965.32</f>
        <v>2090965.32</v>
      </c>
      <c r="D82" s="158">
        <v>-2090965.32</v>
      </c>
      <c r="E82" t="s">
        <v>475</v>
      </c>
      <c r="F82" t="s">
        <v>476</v>
      </c>
    </row>
    <row r="83" spans="1:6" ht="15" hidden="1" customHeight="1" x14ac:dyDescent="0.25">
      <c r="A83" s="160" t="s">
        <v>477</v>
      </c>
      <c r="B83" s="162">
        <f t="shared" si="0"/>
        <v>0</v>
      </c>
      <c r="C83" s="161">
        <f>0</f>
        <v>0</v>
      </c>
      <c r="D83" s="158">
        <v>0</v>
      </c>
      <c r="E83" t="str">
        <f>_xlfn.XLOOKUP(A83,'[2]Chart of Accounts Crosswalk'!N:N,'[2]Chart of Accounts Crosswalk'!O:O,"False",0,1)</f>
        <v>False</v>
      </c>
    </row>
    <row r="84" spans="1:6" ht="15" hidden="1" customHeight="1" x14ac:dyDescent="0.25">
      <c r="A84" s="160" t="s">
        <v>478</v>
      </c>
      <c r="B84" s="162">
        <f t="shared" si="0"/>
        <v>-140000</v>
      </c>
      <c r="C84" s="161">
        <f>140000</f>
        <v>140000</v>
      </c>
      <c r="D84" s="158">
        <v>-140000</v>
      </c>
      <c r="E84" t="s">
        <v>479</v>
      </c>
      <c r="F84" t="s">
        <v>476</v>
      </c>
    </row>
    <row r="85" spans="1:6" ht="15" hidden="1" customHeight="1" x14ac:dyDescent="0.25">
      <c r="A85" s="160" t="s">
        <v>480</v>
      </c>
      <c r="B85" s="162"/>
      <c r="C85" s="161">
        <f>0</f>
        <v>0</v>
      </c>
      <c r="E85" t="str">
        <f>_xlfn.XLOOKUP(A85,'[2]Chart of Accounts Crosswalk'!N:N,'[2]Chart of Accounts Crosswalk'!O:O,"False",0,1)</f>
        <v>False</v>
      </c>
    </row>
    <row r="86" spans="1:6" ht="15" hidden="1" customHeight="1" x14ac:dyDescent="0.25">
      <c r="A86" s="160" t="s">
        <v>481</v>
      </c>
      <c r="B86" s="161">
        <f>30000</f>
        <v>30000</v>
      </c>
      <c r="C86" s="162"/>
      <c r="D86" s="158">
        <v>30000</v>
      </c>
      <c r="E86" t="s">
        <v>482</v>
      </c>
      <c r="F86" t="s">
        <v>476</v>
      </c>
    </row>
    <row r="87" spans="1:6" hidden="1" x14ac:dyDescent="0.25">
      <c r="A87" s="160" t="s">
        <v>483</v>
      </c>
      <c r="B87" s="162">
        <f>-C87</f>
        <v>-4371.13</v>
      </c>
      <c r="C87" s="161">
        <f>4371.13</f>
        <v>4371.13</v>
      </c>
      <c r="D87" s="163">
        <v>-5000</v>
      </c>
      <c r="E87" t="str">
        <f>_xlfn.XLOOKUP(A87,'[2]Chart of Accounts Crosswalk'!N:N,'[2]Chart of Accounts Crosswalk'!O:O,"False",0,1)</f>
        <v>11.951.00.0000.1750.000.0000</v>
      </c>
      <c r="F87" t="s">
        <v>484</v>
      </c>
    </row>
    <row r="88" spans="1:6" hidden="1" x14ac:dyDescent="0.25">
      <c r="A88" s="160" t="s">
        <v>485</v>
      </c>
      <c r="B88" s="162">
        <f t="shared" ref="B88:B103" si="1">-C88</f>
        <v>-20592</v>
      </c>
      <c r="C88" s="161">
        <f>20592</f>
        <v>20592</v>
      </c>
      <c r="D88" s="163">
        <f>C88/7*12*-1</f>
        <v>-35300.571428571428</v>
      </c>
      <c r="E88" t="str">
        <f>_xlfn.XLOOKUP(A88,'[2]Chart of Accounts Crosswalk'!N:N,'[2]Chart of Accounts Crosswalk'!O:O,"False",0,1)</f>
        <v>11.951.00.0000.1910.000.0000</v>
      </c>
      <c r="F88" t="s">
        <v>484</v>
      </c>
    </row>
    <row r="89" spans="1:6" hidden="1" x14ac:dyDescent="0.25">
      <c r="A89" s="160" t="s">
        <v>486</v>
      </c>
      <c r="B89" s="162">
        <f t="shared" si="1"/>
        <v>-2064.5</v>
      </c>
      <c r="C89" s="161">
        <f>2064.5</f>
        <v>2064.5</v>
      </c>
      <c r="D89" s="163">
        <v>-2000</v>
      </c>
      <c r="E89" t="str">
        <f>_xlfn.XLOOKUP(A89,'[2]Chart of Accounts Crosswalk'!N:N,'[2]Chart of Accounts Crosswalk'!O:O,"False",0,1)</f>
        <v>11.951.00.0000.1740.000.0000</v>
      </c>
      <c r="F89" t="s">
        <v>484</v>
      </c>
    </row>
    <row r="90" spans="1:6" hidden="1" x14ac:dyDescent="0.25">
      <c r="A90" s="160" t="s">
        <v>487</v>
      </c>
      <c r="B90" s="162">
        <f t="shared" si="1"/>
        <v>-1078</v>
      </c>
      <c r="C90" s="161">
        <f>1078</f>
        <v>1078</v>
      </c>
      <c r="D90" s="163">
        <v>-1050</v>
      </c>
      <c r="E90" t="str">
        <f>_xlfn.XLOOKUP(A90,'[2]Chart of Accounts Crosswalk'!N:N,'[2]Chart of Accounts Crosswalk'!O:O,"False",0,1)</f>
        <v>11.951.00.0000.1740.000.0000</v>
      </c>
      <c r="F90" t="s">
        <v>484</v>
      </c>
    </row>
    <row r="91" spans="1:6" hidden="1" x14ac:dyDescent="0.25">
      <c r="A91" s="160" t="s">
        <v>488</v>
      </c>
      <c r="B91" s="162">
        <f t="shared" si="1"/>
        <v>-2410.1999999999998</v>
      </c>
      <c r="C91" s="161">
        <f>2410.2</f>
        <v>2410.1999999999998</v>
      </c>
      <c r="D91" s="163">
        <f>C91*10*-1</f>
        <v>-24102</v>
      </c>
      <c r="E91" t="str">
        <f>_xlfn.XLOOKUP(A91,'[2]Chart of Accounts Crosswalk'!N:N,'[2]Chart of Accounts Crosswalk'!O:O,"False",0,1)</f>
        <v>11.951.00.0000.1820.000.0000</v>
      </c>
      <c r="F91" t="s">
        <v>484</v>
      </c>
    </row>
    <row r="92" spans="1:6" hidden="1" x14ac:dyDescent="0.25">
      <c r="A92" s="160" t="s">
        <v>489</v>
      </c>
      <c r="B92" s="162">
        <f t="shared" si="1"/>
        <v>-3368</v>
      </c>
      <c r="C92" s="161">
        <f>3368</f>
        <v>3368</v>
      </c>
      <c r="D92" s="163">
        <v>-3800</v>
      </c>
      <c r="E92" t="str">
        <f>_xlfn.XLOOKUP(A92,'[2]Chart of Accounts Crosswalk'!N:N,'[2]Chart of Accounts Crosswalk'!O:O,"False",0,1)</f>
        <v>11.951.00.0000.1740.000.0000</v>
      </c>
      <c r="F92" t="s">
        <v>484</v>
      </c>
    </row>
    <row r="93" spans="1:6" hidden="1" x14ac:dyDescent="0.25">
      <c r="A93" s="160" t="s">
        <v>490</v>
      </c>
      <c r="B93" s="162">
        <f t="shared" si="1"/>
        <v>-280</v>
      </c>
      <c r="C93" s="161">
        <f>280</f>
        <v>280</v>
      </c>
      <c r="D93" s="163">
        <v>-600</v>
      </c>
      <c r="E93" t="str">
        <f>_xlfn.XLOOKUP(A93,'[2]Chart of Accounts Crosswalk'!N:N,'[2]Chart of Accounts Crosswalk'!O:O,"False",0,1)</f>
        <v>11.951.00.0000.1790.000.0000</v>
      </c>
      <c r="F93" t="s">
        <v>484</v>
      </c>
    </row>
    <row r="94" spans="1:6" hidden="1" x14ac:dyDescent="0.25">
      <c r="A94" s="160" t="s">
        <v>491</v>
      </c>
      <c r="B94" s="162">
        <f t="shared" si="1"/>
        <v>-100</v>
      </c>
      <c r="C94" s="161">
        <f>100</f>
        <v>100</v>
      </c>
      <c r="D94" s="163">
        <v>-200</v>
      </c>
      <c r="E94" t="str">
        <f>_xlfn.XLOOKUP(A94,'[2]Chart of Accounts Crosswalk'!N:N,'[2]Chart of Accounts Crosswalk'!O:O,"False",0,1)</f>
        <v>11.951.00.0000.1740.000.0000</v>
      </c>
      <c r="F94" t="s">
        <v>484</v>
      </c>
    </row>
    <row r="95" spans="1:6" hidden="1" x14ac:dyDescent="0.25">
      <c r="A95" s="160" t="s">
        <v>492</v>
      </c>
      <c r="B95" s="162">
        <f t="shared" si="1"/>
        <v>-212.66</v>
      </c>
      <c r="C95" s="161">
        <f>212.66</f>
        <v>212.66</v>
      </c>
      <c r="D95" s="163">
        <v>-200</v>
      </c>
      <c r="E95" t="str">
        <f>_xlfn.XLOOKUP(A95,'[2]Chart of Accounts Crosswalk'!N:N,'[2]Chart of Accounts Crosswalk'!O:O,"False",0,1)</f>
        <v>11.951.00.0000.1990.000.0000</v>
      </c>
      <c r="F95" t="s">
        <v>484</v>
      </c>
    </row>
    <row r="96" spans="1:6" hidden="1" x14ac:dyDescent="0.25">
      <c r="A96" s="160" t="s">
        <v>493</v>
      </c>
      <c r="B96" s="162">
        <f t="shared" si="1"/>
        <v>-185.86</v>
      </c>
      <c r="C96" s="161">
        <f>185.86</f>
        <v>185.86</v>
      </c>
      <c r="D96" s="163">
        <v>-200</v>
      </c>
      <c r="E96" t="str">
        <f>_xlfn.XLOOKUP(A96,'[2]Chart of Accounts Crosswalk'!N:N,'[2]Chart of Accounts Crosswalk'!O:O,"False",0,1)</f>
        <v>11.951.00.0000.1790.000.0000</v>
      </c>
      <c r="F96" t="s">
        <v>484</v>
      </c>
    </row>
    <row r="97" spans="1:6" hidden="1" x14ac:dyDescent="0.25">
      <c r="A97" s="160" t="s">
        <v>494</v>
      </c>
      <c r="B97" s="162">
        <f t="shared" si="1"/>
        <v>-11130</v>
      </c>
      <c r="C97" s="161">
        <f>11130</f>
        <v>11130</v>
      </c>
      <c r="D97" s="163">
        <v>-10000</v>
      </c>
      <c r="E97" t="str">
        <f>_xlfn.XLOOKUP(A97,'[2]Chart of Accounts Crosswalk'!N:N,'[2]Chart of Accounts Crosswalk'!O:O,"False",0,1)</f>
        <v>11.951.00.0000.1940.000.0000</v>
      </c>
      <c r="F97" t="s">
        <v>484</v>
      </c>
    </row>
    <row r="98" spans="1:6" hidden="1" x14ac:dyDescent="0.25">
      <c r="A98" s="160" t="s">
        <v>495</v>
      </c>
      <c r="B98" s="162">
        <f t="shared" si="1"/>
        <v>-935.61</v>
      </c>
      <c r="C98" s="161">
        <f>935.61</f>
        <v>935.61</v>
      </c>
      <c r="D98" s="163">
        <v>-800</v>
      </c>
      <c r="E98" t="str">
        <f>_xlfn.XLOOKUP(A98,'[2]Chart of Accounts Crosswalk'!N:N,'[2]Chart of Accounts Crosswalk'!O:O,"False",0,1)</f>
        <v>11.951.00.0000.1920.000.0000</v>
      </c>
      <c r="F98" t="s">
        <v>484</v>
      </c>
    </row>
    <row r="99" spans="1:6" hidden="1" x14ac:dyDescent="0.25">
      <c r="A99" s="160" t="s">
        <v>496</v>
      </c>
      <c r="B99" s="162">
        <f t="shared" si="1"/>
        <v>-3107.15</v>
      </c>
      <c r="C99" s="161">
        <f>3107.15</f>
        <v>3107.15</v>
      </c>
      <c r="D99" s="163">
        <v>-3000</v>
      </c>
      <c r="E99" t="str">
        <f>_xlfn.XLOOKUP(A99,'[2]Chart of Accounts Crosswalk'!N:N,'[2]Chart of Accounts Crosswalk'!O:O,"False",0,1)</f>
        <v>11.951.00.0000.1990.000.0000</v>
      </c>
      <c r="F99" t="s">
        <v>484</v>
      </c>
    </row>
    <row r="100" spans="1:6" hidden="1" x14ac:dyDescent="0.25">
      <c r="A100" s="160" t="s">
        <v>497</v>
      </c>
      <c r="B100" s="162">
        <f t="shared" si="1"/>
        <v>-317</v>
      </c>
      <c r="C100" s="161">
        <f>317</f>
        <v>317</v>
      </c>
      <c r="D100" s="163">
        <v>0</v>
      </c>
      <c r="E100" t="str">
        <f>_xlfn.XLOOKUP(A100,'[2]Chart of Accounts Crosswalk'!N:N,'[2]Chart of Accounts Crosswalk'!O:O,"False",0,1)</f>
        <v>11.951.00.0000.1900.000.0000</v>
      </c>
      <c r="F100" t="s">
        <v>484</v>
      </c>
    </row>
    <row r="101" spans="1:6" hidden="1" x14ac:dyDescent="0.25">
      <c r="A101" s="160" t="s">
        <v>498</v>
      </c>
      <c r="B101" s="162">
        <f t="shared" si="1"/>
        <v>-15848.29</v>
      </c>
      <c r="C101" s="161">
        <f>15848.29</f>
        <v>15848.29</v>
      </c>
      <c r="D101" s="163">
        <f>C101/7*12*-1</f>
        <v>-27168.497142857144</v>
      </c>
      <c r="E101" t="str">
        <f>_xlfn.XLOOKUP(A101,'[2]Chart of Accounts Crosswalk'!N:N,'[2]Chart of Accounts Crosswalk'!O:O,"False",0,1)</f>
        <v>11.951.00.0000.1510.000.0000</v>
      </c>
      <c r="F101" t="s">
        <v>484</v>
      </c>
    </row>
    <row r="102" spans="1:6" hidden="1" x14ac:dyDescent="0.25">
      <c r="A102" s="160" t="s">
        <v>499</v>
      </c>
      <c r="B102" s="162">
        <f t="shared" si="1"/>
        <v>-3288.22</v>
      </c>
      <c r="C102" s="161">
        <f>3288.22</f>
        <v>3288.22</v>
      </c>
      <c r="D102" s="163">
        <v>-2800</v>
      </c>
      <c r="E102" t="str">
        <f>_xlfn.XLOOKUP(A102,'[2]Chart of Accounts Crosswalk'!N:N,'[2]Chart of Accounts Crosswalk'!O:O,"False",0,1)</f>
        <v>11.951.00.0000.1590.000.0000</v>
      </c>
      <c r="F102" t="s">
        <v>484</v>
      </c>
    </row>
    <row r="103" spans="1:6" hidden="1" x14ac:dyDescent="0.25">
      <c r="A103" s="160" t="s">
        <v>500</v>
      </c>
      <c r="B103" s="162">
        <f t="shared" si="1"/>
        <v>-754544.5</v>
      </c>
      <c r="C103" s="161">
        <f>754544.5</f>
        <v>754544.5</v>
      </c>
      <c r="D103" s="163">
        <v>-1093385</v>
      </c>
      <c r="E103" t="str">
        <f>_xlfn.XLOOKUP(A103,'[2]Chart of Accounts Crosswalk'!N:N,'[2]Chart of Accounts Crosswalk'!O:O,"False",0,1)</f>
        <v>11.951.00.0000.1150.000.3951</v>
      </c>
      <c r="F103" t="s">
        <v>484</v>
      </c>
    </row>
    <row r="104" spans="1:6" hidden="1" x14ac:dyDescent="0.25">
      <c r="A104" s="160" t="s">
        <v>501</v>
      </c>
      <c r="B104" s="161">
        <f>693.8</f>
        <v>693.8</v>
      </c>
      <c r="C104" s="162"/>
      <c r="D104" s="163">
        <v>0</v>
      </c>
      <c r="E104" t="s">
        <v>502</v>
      </c>
      <c r="F104" t="s">
        <v>484</v>
      </c>
    </row>
    <row r="105" spans="1:6" hidden="1" x14ac:dyDescent="0.25">
      <c r="A105" s="160" t="s">
        <v>503</v>
      </c>
      <c r="B105" s="162">
        <f>-C105</f>
        <v>-65440</v>
      </c>
      <c r="C105" s="161">
        <f>65440</f>
        <v>65440</v>
      </c>
      <c r="D105" s="158">
        <v>-65440</v>
      </c>
      <c r="E105" t="str">
        <f>_xlfn.XLOOKUP(A105,'[2]Chart of Accounts Crosswalk'!N:N,'[2]Chart of Accounts Crosswalk'!O:O,"False",0,1)</f>
        <v>11.951.00.0000.3010.000.3130</v>
      </c>
      <c r="F105" t="s">
        <v>484</v>
      </c>
    </row>
    <row r="106" spans="1:6" hidden="1" x14ac:dyDescent="0.25">
      <c r="A106" s="160" t="s">
        <v>504</v>
      </c>
      <c r="B106" s="162">
        <f t="shared" ref="B106:B114" si="2">-C106</f>
        <v>-9669</v>
      </c>
      <c r="C106" s="161">
        <f>9669</f>
        <v>9669</v>
      </c>
      <c r="D106" s="158">
        <v>-9669</v>
      </c>
      <c r="E106" t="str">
        <f>_xlfn.XLOOKUP(A106,'[2]Chart of Accounts Crosswalk'!N:N,'[2]Chart of Accounts Crosswalk'!O:O,"False",0,1)</f>
        <v>11.951.00.0000.3010.000.3140</v>
      </c>
      <c r="F106" t="s">
        <v>484</v>
      </c>
    </row>
    <row r="107" spans="1:6" hidden="1" x14ac:dyDescent="0.25">
      <c r="A107" s="160" t="s">
        <v>505</v>
      </c>
      <c r="B107" s="162">
        <f t="shared" si="2"/>
        <v>-3043.4</v>
      </c>
      <c r="C107" s="161">
        <f>3043.4</f>
        <v>3043.4</v>
      </c>
      <c r="D107" s="158">
        <v>-3043.4</v>
      </c>
      <c r="E107" t="str">
        <f>_xlfn.XLOOKUP(A107,'[2]Chart of Accounts Crosswalk'!N:N,'[2]Chart of Accounts Crosswalk'!O:O,"False",0,1)</f>
        <v>11.951.00.0000.3010.000.3150</v>
      </c>
      <c r="F107" t="s">
        <v>484</v>
      </c>
    </row>
    <row r="108" spans="1:6" hidden="1" x14ac:dyDescent="0.25">
      <c r="A108" s="160" t="s">
        <v>506</v>
      </c>
      <c r="B108" s="162">
        <f t="shared" si="2"/>
        <v>-904.5</v>
      </c>
      <c r="C108" s="161">
        <f>904.5</f>
        <v>904.5</v>
      </c>
      <c r="D108" s="158">
        <v>-904.5</v>
      </c>
      <c r="E108" t="str">
        <f>_xlfn.XLOOKUP(A108,'[2]Chart of Accounts Crosswalk'!N:N,'[2]Chart of Accounts Crosswalk'!O:O,"False",0,1)</f>
        <v>11.951.00.0000.3010.000.3228</v>
      </c>
      <c r="F108" t="s">
        <v>484</v>
      </c>
    </row>
    <row r="109" spans="1:6" hidden="1" x14ac:dyDescent="0.25">
      <c r="A109" s="160" t="s">
        <v>507</v>
      </c>
      <c r="B109" s="162">
        <f t="shared" si="2"/>
        <v>-2523592.7599999998</v>
      </c>
      <c r="C109" s="161">
        <f>2523592.76</f>
        <v>2523592.7599999998</v>
      </c>
      <c r="D109" s="158">
        <v>-2523592.7599999998</v>
      </c>
      <c r="E109" t="str">
        <f>_xlfn.XLOOKUP(A109,'[2]Chart of Accounts Crosswalk'!N:N,'[2]Chart of Accounts Crosswalk'!O:O,"False",0,1)</f>
        <v>11.951.00.0000.3010.000.3110</v>
      </c>
      <c r="F109" t="s">
        <v>484</v>
      </c>
    </row>
    <row r="110" spans="1:6" hidden="1" x14ac:dyDescent="0.25">
      <c r="A110" s="160" t="s">
        <v>508</v>
      </c>
      <c r="B110" s="162">
        <f t="shared" si="2"/>
        <v>-67239.42</v>
      </c>
      <c r="C110" s="161">
        <f>67239.42</f>
        <v>67239.42</v>
      </c>
      <c r="D110" s="158">
        <v>-67239.42</v>
      </c>
      <c r="E110" t="str">
        <f>_xlfn.XLOOKUP(A110,'[2]Chart of Accounts Crosswalk'!N:N,'[2]Chart of Accounts Crosswalk'!O:O,"False",0,1)</f>
        <v>11.951.00.0000.3010.000.3113</v>
      </c>
      <c r="F110" t="s">
        <v>484</v>
      </c>
    </row>
    <row r="111" spans="1:6" hidden="1" x14ac:dyDescent="0.25">
      <c r="A111" s="160" t="s">
        <v>509</v>
      </c>
      <c r="B111" s="162">
        <f t="shared" si="2"/>
        <v>-1700</v>
      </c>
      <c r="C111" s="161">
        <f>1700</f>
        <v>1700</v>
      </c>
      <c r="D111" s="158">
        <v>-1700</v>
      </c>
      <c r="E111" t="s">
        <v>510</v>
      </c>
      <c r="F111" t="s">
        <v>484</v>
      </c>
    </row>
    <row r="112" spans="1:6" hidden="1" x14ac:dyDescent="0.25">
      <c r="A112" s="160" t="s">
        <v>511</v>
      </c>
      <c r="B112" s="162">
        <f t="shared" si="2"/>
        <v>-23667.67</v>
      </c>
      <c r="C112" s="161">
        <f>23667.67</f>
        <v>23667.67</v>
      </c>
      <c r="D112" s="158">
        <v>-23667.67</v>
      </c>
      <c r="E112" t="str">
        <f>_xlfn.XLOOKUP(A112,'[2]Chart of Accounts Crosswalk'!N:N,'[2]Chart of Accounts Crosswalk'!O:O,"False",0,1)</f>
        <v>11.951.00.0000.4010.000.4010</v>
      </c>
      <c r="F112" t="s">
        <v>484</v>
      </c>
    </row>
    <row r="113" spans="1:7" hidden="1" x14ac:dyDescent="0.25">
      <c r="A113" s="160" t="s">
        <v>512</v>
      </c>
      <c r="B113" s="162">
        <f t="shared" si="2"/>
        <v>-64160</v>
      </c>
      <c r="C113" s="161">
        <f>64160</f>
        <v>64160</v>
      </c>
      <c r="D113" s="158">
        <v>-64160</v>
      </c>
      <c r="E113" t="str">
        <f>_xlfn.XLOOKUP(A113,'[2]Chart of Accounts Crosswalk'!N:N,'[2]Chart of Accounts Crosswalk'!O:O,"False",0,1)</f>
        <v>11.951.00.0000.4010.000.4027</v>
      </c>
      <c r="F113" t="s">
        <v>484</v>
      </c>
    </row>
    <row r="114" spans="1:7" hidden="1" x14ac:dyDescent="0.25">
      <c r="A114" s="160" t="s">
        <v>513</v>
      </c>
      <c r="B114" s="162">
        <f t="shared" si="2"/>
        <v>-14183</v>
      </c>
      <c r="C114" s="161">
        <f>14183</f>
        <v>14183</v>
      </c>
      <c r="D114" s="158">
        <v>-14183</v>
      </c>
      <c r="E114" t="s">
        <v>514</v>
      </c>
      <c r="F114" t="s">
        <v>484</v>
      </c>
    </row>
    <row r="115" spans="1:7" x14ac:dyDescent="0.25">
      <c r="A115" s="164" t="s">
        <v>515</v>
      </c>
      <c r="B115" s="161">
        <f>4226.25</f>
        <v>4226.25</v>
      </c>
      <c r="C115" s="162"/>
      <c r="D115" s="163">
        <v>0</v>
      </c>
      <c r="E115" t="s">
        <v>516</v>
      </c>
      <c r="F115" t="s">
        <v>517</v>
      </c>
      <c r="G115" t="s">
        <v>518</v>
      </c>
    </row>
    <row r="116" spans="1:7" x14ac:dyDescent="0.25">
      <c r="A116" s="160" t="s">
        <v>519</v>
      </c>
      <c r="B116" s="161">
        <f>1975</f>
        <v>1975</v>
      </c>
      <c r="C116" s="162"/>
      <c r="D116" s="163">
        <v>3500</v>
      </c>
      <c r="E116" t="s">
        <v>520</v>
      </c>
      <c r="F116" t="s">
        <v>517</v>
      </c>
    </row>
    <row r="117" spans="1:7" x14ac:dyDescent="0.25">
      <c r="A117" s="160" t="s">
        <v>521</v>
      </c>
      <c r="B117" s="161">
        <f>284.51</f>
        <v>284.51</v>
      </c>
      <c r="C117" s="162"/>
      <c r="D117" s="163">
        <v>300</v>
      </c>
      <c r="E117" t="s">
        <v>522</v>
      </c>
      <c r="F117" t="s">
        <v>517</v>
      </c>
    </row>
    <row r="118" spans="1:7" x14ac:dyDescent="0.25">
      <c r="A118" s="160" t="s">
        <v>523</v>
      </c>
      <c r="B118" s="161">
        <f>489487.58</f>
        <v>489487.58</v>
      </c>
      <c r="C118" s="162"/>
      <c r="D118" s="165">
        <v>1136980</v>
      </c>
      <c r="E118" t="s">
        <v>524</v>
      </c>
      <c r="F118" t="s">
        <v>517</v>
      </c>
    </row>
    <row r="119" spans="1:7" x14ac:dyDescent="0.25">
      <c r="A119" s="160" t="s">
        <v>525</v>
      </c>
      <c r="B119" s="161">
        <f>133877.26</f>
        <v>133877.26</v>
      </c>
      <c r="C119" s="162"/>
      <c r="D119" s="165">
        <v>434720</v>
      </c>
      <c r="E119" t="s">
        <v>526</v>
      </c>
      <c r="F119" t="s">
        <v>517</v>
      </c>
    </row>
    <row r="120" spans="1:7" x14ac:dyDescent="0.25">
      <c r="A120" s="160" t="s">
        <v>527</v>
      </c>
      <c r="B120" s="161">
        <f>68116.17</f>
        <v>68116.17</v>
      </c>
      <c r="C120" s="162"/>
      <c r="D120" s="165">
        <f>SUM(B120/7)*10*1.02</f>
        <v>99254.990571428585</v>
      </c>
      <c r="E120" t="s">
        <v>528</v>
      </c>
      <c r="F120" t="s">
        <v>517</v>
      </c>
    </row>
    <row r="121" spans="1:7" x14ac:dyDescent="0.25">
      <c r="A121" s="160" t="s">
        <v>529</v>
      </c>
      <c r="B121" s="161">
        <f>179868.55</f>
        <v>179868.55</v>
      </c>
      <c r="C121" s="162"/>
      <c r="D121" s="165">
        <f>SUM(B121/7)*10*1.02</f>
        <v>262094.17285714284</v>
      </c>
      <c r="E121" t="s">
        <v>530</v>
      </c>
      <c r="F121" t="s">
        <v>517</v>
      </c>
    </row>
    <row r="122" spans="1:7" x14ac:dyDescent="0.25">
      <c r="A122" s="160" t="s">
        <v>531</v>
      </c>
      <c r="B122" s="161">
        <f>49555.02</f>
        <v>49555.02</v>
      </c>
      <c r="C122" s="162"/>
      <c r="D122" s="165">
        <f>SUM(B122/7)*11*1.05</f>
        <v>81765.782999999996</v>
      </c>
      <c r="E122" t="s">
        <v>532</v>
      </c>
      <c r="F122" t="s">
        <v>517</v>
      </c>
    </row>
    <row r="123" spans="1:7" x14ac:dyDescent="0.25">
      <c r="A123" s="160" t="s">
        <v>533</v>
      </c>
      <c r="B123" s="161">
        <f>12249.59</f>
        <v>12249.59</v>
      </c>
      <c r="C123" s="162"/>
      <c r="D123" s="165">
        <v>20000</v>
      </c>
      <c r="E123" t="s">
        <v>534</v>
      </c>
      <c r="F123" t="s">
        <v>517</v>
      </c>
    </row>
    <row r="124" spans="1:7" x14ac:dyDescent="0.25">
      <c r="A124" s="160" t="s">
        <v>535</v>
      </c>
      <c r="B124" s="161">
        <f>7641.13</f>
        <v>7641.13</v>
      </c>
      <c r="C124" s="162"/>
      <c r="D124" s="165">
        <v>12700</v>
      </c>
      <c r="E124" t="s">
        <v>536</v>
      </c>
      <c r="F124" t="s">
        <v>517</v>
      </c>
    </row>
    <row r="125" spans="1:7" x14ac:dyDescent="0.25">
      <c r="A125" s="160" t="s">
        <v>537</v>
      </c>
      <c r="B125" s="161">
        <f>2588.03</f>
        <v>2588.0300000000002</v>
      </c>
      <c r="C125" s="162"/>
      <c r="D125" s="165">
        <v>3000</v>
      </c>
      <c r="E125" t="s">
        <v>524</v>
      </c>
      <c r="F125" t="s">
        <v>517</v>
      </c>
    </row>
    <row r="126" spans="1:7" x14ac:dyDescent="0.25">
      <c r="A126" s="160" t="s">
        <v>538</v>
      </c>
      <c r="B126" s="161">
        <f>66399.78</f>
        <v>66399.78</v>
      </c>
      <c r="C126" s="162"/>
      <c r="D126" s="165">
        <f>SUM(B126/7)*12*1</f>
        <v>113828.1942857143</v>
      </c>
      <c r="E126" t="str">
        <f>_xlfn.XLOOKUP(A126,'[2]Chart of Accounts Crosswalk'!N:N,'[2]Chart of Accounts Crosswalk'!O:O,"False",0,1)</f>
        <v>11.951.12.1700.0110.200.3130</v>
      </c>
      <c r="F126" t="s">
        <v>517</v>
      </c>
    </row>
    <row r="127" spans="1:7" x14ac:dyDescent="0.25">
      <c r="A127" s="160" t="s">
        <v>539</v>
      </c>
      <c r="B127" s="161">
        <f>17191.88</f>
        <v>17191.88</v>
      </c>
      <c r="C127" s="162"/>
      <c r="D127" s="165">
        <f t="shared" ref="D127:D128" si="3">SUM(B127/7)*12*1</f>
        <v>29471.794285714292</v>
      </c>
      <c r="E127" t="s">
        <v>540</v>
      </c>
      <c r="F127" t="s">
        <v>517</v>
      </c>
    </row>
    <row r="128" spans="1:7" x14ac:dyDescent="0.25">
      <c r="A128" s="160" t="s">
        <v>541</v>
      </c>
      <c r="B128" s="161">
        <f>90970.1</f>
        <v>90970.1</v>
      </c>
      <c r="C128" s="162"/>
      <c r="D128" s="165">
        <f t="shared" si="3"/>
        <v>155948.74285714288</v>
      </c>
      <c r="E128" t="str">
        <f>_xlfn.XLOOKUP(A128,'[2]Chart of Accounts Crosswalk'!N:N,'[2]Chart of Accounts Crosswalk'!O:O,"False",0,1)</f>
        <v>11.951.12.1700.0110.200.4027</v>
      </c>
      <c r="F128" t="s">
        <v>517</v>
      </c>
    </row>
    <row r="129" spans="1:6" x14ac:dyDescent="0.25">
      <c r="A129" s="160" t="s">
        <v>542</v>
      </c>
      <c r="B129" s="161">
        <f>1000</f>
        <v>1000</v>
      </c>
      <c r="C129" s="162"/>
      <c r="D129" s="165">
        <f>SUM(B129/7)*12*1</f>
        <v>1714.2857142857142</v>
      </c>
      <c r="E129" t="str">
        <f>_xlfn.XLOOKUP(A129,'[2]Chart of Accounts Crosswalk'!N:N,'[2]Chart of Accounts Crosswalk'!O:O,"False",0,1)</f>
        <v>11.951.00.0010.0110.200.4367</v>
      </c>
      <c r="F129" t="s">
        <v>517</v>
      </c>
    </row>
    <row r="130" spans="1:6" x14ac:dyDescent="0.25">
      <c r="A130" s="160" t="s">
        <v>543</v>
      </c>
      <c r="B130" s="161">
        <f>16072.12</f>
        <v>16072.12</v>
      </c>
      <c r="C130" s="162"/>
      <c r="D130" s="165">
        <f>SUM(B130/7)*12*1.08</f>
        <v>29756.382171428573</v>
      </c>
      <c r="E130" t="s">
        <v>544</v>
      </c>
      <c r="F130" t="s">
        <v>517</v>
      </c>
    </row>
    <row r="131" spans="1:6" x14ac:dyDescent="0.25">
      <c r="A131" s="160" t="s">
        <v>545</v>
      </c>
      <c r="B131" s="161">
        <f>22400.69</f>
        <v>22400.69</v>
      </c>
      <c r="C131" s="162"/>
      <c r="D131" s="165">
        <f t="shared" ref="D131:D134" si="4">SUM(B131/7)*12*1.08</f>
        <v>41473.277485714287</v>
      </c>
      <c r="E131" t="s">
        <v>544</v>
      </c>
      <c r="F131" t="s">
        <v>517</v>
      </c>
    </row>
    <row r="132" spans="1:6" x14ac:dyDescent="0.25">
      <c r="A132" s="160" t="s">
        <v>546</v>
      </c>
      <c r="B132" s="161">
        <f>6359.67</f>
        <v>6359.67</v>
      </c>
      <c r="C132" s="162"/>
      <c r="D132" s="165">
        <f t="shared" si="4"/>
        <v>11774.474742857145</v>
      </c>
      <c r="E132" t="s">
        <v>547</v>
      </c>
      <c r="F132" t="s">
        <v>517</v>
      </c>
    </row>
    <row r="133" spans="1:6" x14ac:dyDescent="0.25">
      <c r="A133" s="160" t="s">
        <v>548</v>
      </c>
      <c r="B133" s="161">
        <f>2048.76</f>
        <v>2048.7600000000002</v>
      </c>
      <c r="C133" s="162"/>
      <c r="D133" s="165">
        <f t="shared" si="4"/>
        <v>3793.1328000000003</v>
      </c>
      <c r="E133" t="s">
        <v>549</v>
      </c>
      <c r="F133" t="s">
        <v>517</v>
      </c>
    </row>
    <row r="134" spans="1:6" x14ac:dyDescent="0.25">
      <c r="A134" s="160" t="s">
        <v>550</v>
      </c>
      <c r="B134" s="161">
        <f>3171.8</f>
        <v>3171.8</v>
      </c>
      <c r="C134" s="162"/>
      <c r="D134" s="165">
        <f t="shared" si="4"/>
        <v>5872.361142857143</v>
      </c>
      <c r="E134" t="s">
        <v>551</v>
      </c>
      <c r="F134" t="s">
        <v>517</v>
      </c>
    </row>
    <row r="135" spans="1:6" x14ac:dyDescent="0.25">
      <c r="A135" s="160" t="s">
        <v>552</v>
      </c>
      <c r="B135" s="161">
        <f>103150.25</f>
        <v>103150.25</v>
      </c>
      <c r="C135" s="162"/>
      <c r="D135" s="165">
        <f>SUM(D118*0.214)</f>
        <v>243313.72</v>
      </c>
      <c r="E135" t="s">
        <v>553</v>
      </c>
      <c r="F135" t="s">
        <v>517</v>
      </c>
    </row>
    <row r="136" spans="1:6" x14ac:dyDescent="0.25">
      <c r="A136" s="160" t="s">
        <v>554</v>
      </c>
      <c r="B136" s="161">
        <f>28560.96</f>
        <v>28560.959999999999</v>
      </c>
      <c r="C136" s="162"/>
      <c r="D136" s="165">
        <f t="shared" ref="D136:D139" si="5">SUM(D119*0.214)</f>
        <v>93030.080000000002</v>
      </c>
      <c r="E136" t="s">
        <v>555</v>
      </c>
      <c r="F136" t="s">
        <v>517</v>
      </c>
    </row>
    <row r="137" spans="1:6" x14ac:dyDescent="0.25">
      <c r="A137" s="160" t="s">
        <v>556</v>
      </c>
      <c r="B137" s="161">
        <f>15105.73</f>
        <v>15105.73</v>
      </c>
      <c r="C137" s="162"/>
      <c r="D137" s="165">
        <f t="shared" si="5"/>
        <v>21240.567982285716</v>
      </c>
      <c r="E137" t="s">
        <v>557</v>
      </c>
      <c r="F137" t="s">
        <v>517</v>
      </c>
    </row>
    <row r="138" spans="1:6" x14ac:dyDescent="0.25">
      <c r="A138" s="160" t="s">
        <v>558</v>
      </c>
      <c r="B138" s="161">
        <f>37047.61</f>
        <v>37047.61</v>
      </c>
      <c r="C138" s="162"/>
      <c r="D138" s="165">
        <f t="shared" si="5"/>
        <v>56088.152991428564</v>
      </c>
      <c r="E138" t="s">
        <v>559</v>
      </c>
      <c r="F138" t="s">
        <v>517</v>
      </c>
    </row>
    <row r="139" spans="1:6" x14ac:dyDescent="0.25">
      <c r="A139" s="160" t="s">
        <v>560</v>
      </c>
      <c r="B139" s="161">
        <f>24238.27</f>
        <v>24238.27</v>
      </c>
      <c r="C139" s="162"/>
      <c r="D139" s="165">
        <f t="shared" si="5"/>
        <v>17497.877561999998</v>
      </c>
      <c r="E139" t="s">
        <v>561</v>
      </c>
      <c r="F139" t="s">
        <v>517</v>
      </c>
    </row>
    <row r="140" spans="1:6" x14ac:dyDescent="0.25">
      <c r="A140" s="160" t="s">
        <v>562</v>
      </c>
      <c r="B140" s="161">
        <f>7003.44</f>
        <v>7003.44</v>
      </c>
      <c r="C140" s="162"/>
      <c r="D140" s="165">
        <f>SUM(D118*0.0145)</f>
        <v>16486.21</v>
      </c>
      <c r="E140" t="s">
        <v>563</v>
      </c>
      <c r="F140" t="s">
        <v>517</v>
      </c>
    </row>
    <row r="141" spans="1:6" x14ac:dyDescent="0.25">
      <c r="A141" s="160" t="s">
        <v>564</v>
      </c>
      <c r="B141" s="161">
        <f>1961.99</f>
        <v>1961.99</v>
      </c>
      <c r="C141" s="162"/>
      <c r="D141" s="165">
        <f t="shared" ref="D141:D149" si="6">SUM(D119*0.0145)</f>
        <v>6303.4400000000005</v>
      </c>
      <c r="E141" t="s">
        <v>565</v>
      </c>
      <c r="F141" t="s">
        <v>517</v>
      </c>
    </row>
    <row r="142" spans="1:6" x14ac:dyDescent="0.25">
      <c r="A142" s="160" t="s">
        <v>566</v>
      </c>
      <c r="B142" s="161">
        <f>981.44</f>
        <v>981.44</v>
      </c>
      <c r="C142" s="162"/>
      <c r="D142" s="165">
        <f t="shared" si="6"/>
        <v>1439.1973632857146</v>
      </c>
      <c r="E142" t="s">
        <v>567</v>
      </c>
      <c r="F142" t="s">
        <v>517</v>
      </c>
    </row>
    <row r="143" spans="1:6" x14ac:dyDescent="0.25">
      <c r="A143" s="160" t="s">
        <v>568</v>
      </c>
      <c r="B143" s="161">
        <f>2766.38</f>
        <v>2766.38</v>
      </c>
      <c r="C143" s="162"/>
      <c r="D143" s="165">
        <f t="shared" si="6"/>
        <v>3800.3655064285713</v>
      </c>
      <c r="E143" t="s">
        <v>569</v>
      </c>
      <c r="F143" t="s">
        <v>517</v>
      </c>
    </row>
    <row r="144" spans="1:6" x14ac:dyDescent="0.25">
      <c r="A144" s="160" t="s">
        <v>570</v>
      </c>
      <c r="B144" s="161">
        <f>1757.2</f>
        <v>1757.2</v>
      </c>
      <c r="C144" s="162"/>
      <c r="D144" s="165">
        <f t="shared" si="6"/>
        <v>1185.6038535</v>
      </c>
      <c r="E144" t="s">
        <v>571</v>
      </c>
      <c r="F144" t="s">
        <v>517</v>
      </c>
    </row>
    <row r="145" spans="1:6" x14ac:dyDescent="0.25">
      <c r="A145" s="160" t="s">
        <v>572</v>
      </c>
      <c r="B145" s="162"/>
      <c r="C145" s="161"/>
      <c r="D145" s="165">
        <f t="shared" si="6"/>
        <v>290</v>
      </c>
      <c r="E145" t="s">
        <v>573</v>
      </c>
      <c r="F145" t="s">
        <v>517</v>
      </c>
    </row>
    <row r="146" spans="1:6" x14ac:dyDescent="0.25">
      <c r="A146" s="160" t="s">
        <v>574</v>
      </c>
      <c r="B146" s="161">
        <f>262.63</f>
        <v>262.63</v>
      </c>
      <c r="C146" s="162"/>
      <c r="D146" s="165">
        <f t="shared" si="6"/>
        <v>184.15</v>
      </c>
      <c r="E146" t="s">
        <v>575</v>
      </c>
      <c r="F146" t="s">
        <v>517</v>
      </c>
    </row>
    <row r="147" spans="1:6" x14ac:dyDescent="0.25">
      <c r="A147" s="160" t="s">
        <v>576</v>
      </c>
      <c r="B147" s="161">
        <f>98.4</f>
        <v>98.4</v>
      </c>
      <c r="C147" s="162"/>
      <c r="D147" s="165">
        <f t="shared" si="6"/>
        <v>43.5</v>
      </c>
      <c r="E147" t="s">
        <v>577</v>
      </c>
      <c r="F147" t="s">
        <v>517</v>
      </c>
    </row>
    <row r="148" spans="1:6" x14ac:dyDescent="0.25">
      <c r="A148" s="160" t="s">
        <v>578</v>
      </c>
      <c r="B148" s="161">
        <f>274.96</f>
        <v>274.95999999999998</v>
      </c>
      <c r="C148" s="162"/>
      <c r="D148" s="165">
        <f t="shared" si="6"/>
        <v>1650.5088171428574</v>
      </c>
      <c r="E148" t="s">
        <v>579</v>
      </c>
      <c r="F148" t="s">
        <v>517</v>
      </c>
    </row>
    <row r="149" spans="1:6" x14ac:dyDescent="0.25">
      <c r="A149" s="160" t="s">
        <v>580</v>
      </c>
      <c r="B149" s="161">
        <f>131.7</f>
        <v>131.69999999999999</v>
      </c>
      <c r="C149" s="162"/>
      <c r="D149" s="165">
        <f t="shared" si="6"/>
        <v>427.34101714285725</v>
      </c>
      <c r="E149" t="s">
        <v>581</v>
      </c>
      <c r="F149" t="s">
        <v>517</v>
      </c>
    </row>
    <row r="150" spans="1:6" x14ac:dyDescent="0.25">
      <c r="A150" s="160" t="s">
        <v>582</v>
      </c>
      <c r="B150" s="161">
        <f>21038.88</f>
        <v>21038.880000000001</v>
      </c>
      <c r="C150" s="162"/>
      <c r="D150" s="163">
        <f>SUM(B150/7)*12*1.02</f>
        <v>36787.984457142862</v>
      </c>
      <c r="E150" t="s">
        <v>583</v>
      </c>
      <c r="F150" t="s">
        <v>517</v>
      </c>
    </row>
    <row r="151" spans="1:6" x14ac:dyDescent="0.25">
      <c r="A151" s="160" t="s">
        <v>584</v>
      </c>
      <c r="B151" s="161">
        <f>13061.9</f>
        <v>13061.9</v>
      </c>
      <c r="C151" s="162"/>
      <c r="D151" s="165">
        <f t="shared" ref="D151:D165" si="7">SUM(B151/7)*12*1.05</f>
        <v>23511.42</v>
      </c>
      <c r="E151" t="str">
        <f>_xlfn.XLOOKUP(A151,'[2]Chart of Accounts Crosswalk'!N:N,'[2]Chart of Accounts Crosswalk'!O:O,"False",0,1)</f>
        <v>11.951.00.0010.0200.200.3130</v>
      </c>
      <c r="F151" t="s">
        <v>517</v>
      </c>
    </row>
    <row r="152" spans="1:6" x14ac:dyDescent="0.25">
      <c r="A152" s="160" t="s">
        <v>585</v>
      </c>
      <c r="B152" s="161">
        <f>3928.33</f>
        <v>3928.33</v>
      </c>
      <c r="C152" s="162"/>
      <c r="D152" s="165">
        <f t="shared" si="7"/>
        <v>7070.9939999999988</v>
      </c>
      <c r="E152" t="s">
        <v>586</v>
      </c>
      <c r="F152" t="s">
        <v>517</v>
      </c>
    </row>
    <row r="153" spans="1:6" x14ac:dyDescent="0.25">
      <c r="A153" s="160" t="s">
        <v>587</v>
      </c>
      <c r="B153" s="161">
        <f>6179.76</f>
        <v>6179.76</v>
      </c>
      <c r="C153" s="162"/>
      <c r="D153" s="165">
        <f t="shared" si="7"/>
        <v>11123.568000000001</v>
      </c>
      <c r="E153" t="str">
        <f>_xlfn.XLOOKUP(A153,'[2]Chart of Accounts Crosswalk'!N:N,'[2]Chart of Accounts Crosswalk'!O:O,"False",0,1)</f>
        <v>11.951.00.0010.0200.200.4027</v>
      </c>
      <c r="F153" t="s">
        <v>517</v>
      </c>
    </row>
    <row r="154" spans="1:6" x14ac:dyDescent="0.25">
      <c r="A154" s="160" t="s">
        <v>588</v>
      </c>
      <c r="B154" s="161">
        <f>2785.56</f>
        <v>2785.56</v>
      </c>
      <c r="C154" s="162"/>
      <c r="D154" s="165">
        <v>5100</v>
      </c>
      <c r="E154" t="s">
        <v>589</v>
      </c>
      <c r="F154" t="s">
        <v>517</v>
      </c>
    </row>
    <row r="155" spans="1:6" x14ac:dyDescent="0.25">
      <c r="A155" s="160" t="s">
        <v>590</v>
      </c>
      <c r="B155" s="161">
        <f>18796.18</f>
        <v>18796.18</v>
      </c>
      <c r="C155" s="162"/>
      <c r="D155" s="165">
        <v>22000</v>
      </c>
      <c r="E155" t="s">
        <v>591</v>
      </c>
      <c r="F155" t="s">
        <v>517</v>
      </c>
    </row>
    <row r="156" spans="1:6" x14ac:dyDescent="0.25">
      <c r="A156" s="160" t="s">
        <v>592</v>
      </c>
      <c r="B156" s="161">
        <f>8286.31</f>
        <v>8286.31</v>
      </c>
      <c r="C156" s="162"/>
      <c r="D156" s="165">
        <v>9000</v>
      </c>
      <c r="E156" t="s">
        <v>591</v>
      </c>
      <c r="F156" t="s">
        <v>517</v>
      </c>
    </row>
    <row r="157" spans="1:6" x14ac:dyDescent="0.25">
      <c r="A157" s="160" t="s">
        <v>593</v>
      </c>
      <c r="B157" s="161">
        <f>16233.64</f>
        <v>16233.64</v>
      </c>
      <c r="C157" s="162"/>
      <c r="D157" s="165">
        <v>16000</v>
      </c>
      <c r="E157" t="s">
        <v>591</v>
      </c>
      <c r="F157" t="s">
        <v>517</v>
      </c>
    </row>
    <row r="158" spans="1:6" x14ac:dyDescent="0.25">
      <c r="A158" s="160" t="s">
        <v>594</v>
      </c>
      <c r="B158" s="161">
        <f>3771.18</f>
        <v>3771.18</v>
      </c>
      <c r="C158" s="162"/>
      <c r="D158" s="165">
        <v>4000</v>
      </c>
      <c r="E158" t="s">
        <v>591</v>
      </c>
      <c r="F158" t="s">
        <v>517</v>
      </c>
    </row>
    <row r="159" spans="1:6" x14ac:dyDescent="0.25">
      <c r="A159" s="160" t="s">
        <v>595</v>
      </c>
      <c r="B159" s="161">
        <f>4350</f>
        <v>4350</v>
      </c>
      <c r="C159" s="162"/>
      <c r="D159" s="165">
        <v>4800</v>
      </c>
      <c r="E159" t="s">
        <v>591</v>
      </c>
      <c r="F159" t="s">
        <v>517</v>
      </c>
    </row>
    <row r="160" spans="1:6" x14ac:dyDescent="0.25">
      <c r="A160" s="160" t="s">
        <v>596</v>
      </c>
      <c r="B160" s="161">
        <f>950</f>
        <v>950</v>
      </c>
      <c r="C160" s="162"/>
      <c r="D160" s="165">
        <v>1000</v>
      </c>
      <c r="E160" t="s">
        <v>591</v>
      </c>
      <c r="F160" t="s">
        <v>517</v>
      </c>
    </row>
    <row r="161" spans="1:6" x14ac:dyDescent="0.25">
      <c r="A161" s="160" t="s">
        <v>597</v>
      </c>
      <c r="B161" s="161">
        <f>45.21</f>
        <v>45.21</v>
      </c>
      <c r="C161" s="162"/>
      <c r="D161" s="165">
        <v>50</v>
      </c>
      <c r="E161" t="str">
        <f>_xlfn.XLOOKUP(A161,'[2]Chart of Accounts Crosswalk'!N:N,'[2]Chart of Accounts Crosswalk'!O:O,"False",0,1)</f>
        <v>11.951.00.0010.0600.000.3140</v>
      </c>
      <c r="F161" t="s">
        <v>517</v>
      </c>
    </row>
    <row r="162" spans="1:6" x14ac:dyDescent="0.25">
      <c r="A162" s="160" t="s">
        <v>598</v>
      </c>
      <c r="B162" s="161">
        <f>904.5</f>
        <v>904.5</v>
      </c>
      <c r="C162" s="162"/>
      <c r="D162" s="165">
        <v>1000</v>
      </c>
      <c r="E162" t="str">
        <f>_xlfn.XLOOKUP(A162,'[2]Chart of Accounts Crosswalk'!N:N,'[2]Chart of Accounts Crosswalk'!O:O,"False",0,1)</f>
        <v>11.951.00.0010.0600.000.3228</v>
      </c>
      <c r="F162" t="s">
        <v>517</v>
      </c>
    </row>
    <row r="163" spans="1:6" x14ac:dyDescent="0.25">
      <c r="A163" s="160" t="s">
        <v>599</v>
      </c>
      <c r="B163" s="161">
        <f>2555</f>
        <v>2555</v>
      </c>
      <c r="C163" s="162"/>
      <c r="D163" s="165">
        <v>3000</v>
      </c>
      <c r="E163" t="s">
        <v>600</v>
      </c>
      <c r="F163" t="s">
        <v>517</v>
      </c>
    </row>
    <row r="164" spans="1:6" x14ac:dyDescent="0.25">
      <c r="A164" s="160" t="s">
        <v>601</v>
      </c>
      <c r="B164" s="161">
        <f>8708.41</f>
        <v>8708.41</v>
      </c>
      <c r="C164" s="162"/>
      <c r="D164" s="163">
        <v>10000</v>
      </c>
      <c r="E164" t="s">
        <v>602</v>
      </c>
      <c r="F164" t="s">
        <v>517</v>
      </c>
    </row>
    <row r="165" spans="1:6" x14ac:dyDescent="0.25">
      <c r="A165" s="160" t="s">
        <v>603</v>
      </c>
      <c r="B165" s="161">
        <f>25666.67</f>
        <v>25666.67</v>
      </c>
      <c r="C165" s="162"/>
      <c r="D165" s="165">
        <f t="shared" si="7"/>
        <v>46200.006000000001</v>
      </c>
      <c r="E165" t="s">
        <v>604</v>
      </c>
      <c r="F165" t="s">
        <v>517</v>
      </c>
    </row>
    <row r="166" spans="1:6" x14ac:dyDescent="0.25">
      <c r="A166" s="160" t="s">
        <v>605</v>
      </c>
      <c r="B166" s="161">
        <f>4085.5</f>
        <v>4085.5</v>
      </c>
      <c r="C166" s="162"/>
      <c r="D166" s="165">
        <f>SUM(B166/7)*12*1.05+62000</f>
        <v>69353.899999999994</v>
      </c>
      <c r="E166" t="s">
        <v>606</v>
      </c>
      <c r="F166" t="s">
        <v>517</v>
      </c>
    </row>
    <row r="167" spans="1:6" x14ac:dyDescent="0.25">
      <c r="A167" s="160" t="s">
        <v>607</v>
      </c>
      <c r="B167" s="161">
        <f>131.92</f>
        <v>131.91999999999999</v>
      </c>
      <c r="C167" s="162"/>
      <c r="D167" s="165">
        <v>200</v>
      </c>
      <c r="E167" t="s">
        <v>608</v>
      </c>
      <c r="F167" t="s">
        <v>517</v>
      </c>
    </row>
    <row r="168" spans="1:6" x14ac:dyDescent="0.25">
      <c r="A168" s="160" t="s">
        <v>609</v>
      </c>
      <c r="B168" s="161">
        <f>360.85</f>
        <v>360.85</v>
      </c>
      <c r="C168" s="162"/>
      <c r="D168" s="165">
        <v>400</v>
      </c>
      <c r="E168" t="s">
        <v>610</v>
      </c>
      <c r="F168" t="s">
        <v>517</v>
      </c>
    </row>
    <row r="169" spans="1:6" x14ac:dyDescent="0.25">
      <c r="A169" s="160" t="s">
        <v>611</v>
      </c>
      <c r="B169" s="161">
        <f>1025.41</f>
        <v>1025.4100000000001</v>
      </c>
      <c r="C169" s="162"/>
      <c r="D169" s="165">
        <v>1500</v>
      </c>
      <c r="E169" t="s">
        <v>612</v>
      </c>
      <c r="F169" t="s">
        <v>517</v>
      </c>
    </row>
    <row r="170" spans="1:6" x14ac:dyDescent="0.25">
      <c r="A170" s="160" t="s">
        <v>613</v>
      </c>
      <c r="B170" s="161">
        <f>145.12</f>
        <v>145.12</v>
      </c>
      <c r="C170" s="162"/>
      <c r="D170" s="165">
        <v>170</v>
      </c>
      <c r="E170" t="s">
        <v>614</v>
      </c>
      <c r="F170" t="s">
        <v>517</v>
      </c>
    </row>
    <row r="171" spans="1:6" x14ac:dyDescent="0.25">
      <c r="A171" s="160" t="s">
        <v>615</v>
      </c>
      <c r="B171" s="161">
        <f>5492.66</f>
        <v>5492.66</v>
      </c>
      <c r="C171" s="162"/>
      <c r="D171" s="165">
        <f>SUM(D165*0.214)</f>
        <v>9886.8012839999992</v>
      </c>
      <c r="E171" t="s">
        <v>616</v>
      </c>
      <c r="F171" t="s">
        <v>517</v>
      </c>
    </row>
    <row r="172" spans="1:6" x14ac:dyDescent="0.25">
      <c r="A172" s="160" t="s">
        <v>617</v>
      </c>
      <c r="B172" s="161">
        <f>605.89</f>
        <v>605.89</v>
      </c>
      <c r="C172" s="162"/>
      <c r="D172" s="165">
        <f>SUM(D166*0.214)</f>
        <v>14841.734599999998</v>
      </c>
      <c r="E172" t="s">
        <v>618</v>
      </c>
      <c r="F172" t="s">
        <v>517</v>
      </c>
    </row>
    <row r="173" spans="1:6" x14ac:dyDescent="0.25">
      <c r="A173" s="160" t="s">
        <v>619</v>
      </c>
      <c r="B173" s="161">
        <f>374.08</f>
        <v>374.08</v>
      </c>
      <c r="C173" s="162"/>
      <c r="D173" s="165">
        <f t="shared" ref="D173:D177" si="8">SUM(D167*0.214)</f>
        <v>42.8</v>
      </c>
      <c r="E173" t="s">
        <v>620</v>
      </c>
      <c r="F173" t="s">
        <v>517</v>
      </c>
    </row>
    <row r="174" spans="1:6" x14ac:dyDescent="0.25">
      <c r="A174" s="160" t="s">
        <v>621</v>
      </c>
      <c r="B174" s="161">
        <f>41.05</f>
        <v>41.05</v>
      </c>
      <c r="C174" s="162"/>
      <c r="D174" s="165">
        <f t="shared" si="8"/>
        <v>85.6</v>
      </c>
      <c r="E174" t="s">
        <v>622</v>
      </c>
      <c r="F174" t="s">
        <v>517</v>
      </c>
    </row>
    <row r="175" spans="1:6" x14ac:dyDescent="0.25">
      <c r="A175" s="160" t="s">
        <v>623</v>
      </c>
      <c r="B175" s="161">
        <f>25.01</f>
        <v>25.01</v>
      </c>
      <c r="C175" s="162"/>
      <c r="D175" s="165">
        <f t="shared" si="8"/>
        <v>321</v>
      </c>
      <c r="E175" t="s">
        <v>624</v>
      </c>
      <c r="F175" t="s">
        <v>517</v>
      </c>
    </row>
    <row r="176" spans="1:6" x14ac:dyDescent="0.25">
      <c r="A176" s="160" t="s">
        <v>625</v>
      </c>
      <c r="B176" s="161">
        <f>5.66</f>
        <v>5.66</v>
      </c>
      <c r="C176" s="162"/>
      <c r="D176" s="165">
        <f t="shared" si="8"/>
        <v>36.380000000000003</v>
      </c>
      <c r="E176" t="s">
        <v>626</v>
      </c>
      <c r="F176" t="s">
        <v>517</v>
      </c>
    </row>
    <row r="177" spans="1:6" x14ac:dyDescent="0.25">
      <c r="A177" s="160" t="s">
        <v>627</v>
      </c>
      <c r="B177" s="161">
        <f>559.16</f>
        <v>559.16</v>
      </c>
      <c r="C177" s="162"/>
      <c r="D177" s="163">
        <f t="shared" si="8"/>
        <v>2115.775474776</v>
      </c>
      <c r="E177" t="s">
        <v>628</v>
      </c>
      <c r="F177" t="s">
        <v>517</v>
      </c>
    </row>
    <row r="178" spans="1:6" x14ac:dyDescent="0.25">
      <c r="A178" s="160" t="s">
        <v>629</v>
      </c>
      <c r="B178" s="161">
        <f>2916.2</f>
        <v>2916.2</v>
      </c>
      <c r="C178" s="162"/>
      <c r="D178" s="165">
        <v>3300</v>
      </c>
      <c r="E178" t="s">
        <v>630</v>
      </c>
      <c r="F178" t="s">
        <v>517</v>
      </c>
    </row>
    <row r="179" spans="1:6" x14ac:dyDescent="0.25">
      <c r="A179" s="160" t="s">
        <v>281</v>
      </c>
      <c r="B179" s="161">
        <f>26533</f>
        <v>26533</v>
      </c>
      <c r="C179" s="162"/>
      <c r="D179" s="165">
        <f t="shared" ref="D179:D228" si="9">SUM(B179/7)*12*1.05</f>
        <v>47759.4</v>
      </c>
      <c r="E179" t="s">
        <v>631</v>
      </c>
      <c r="F179" t="s">
        <v>517</v>
      </c>
    </row>
    <row r="180" spans="1:6" x14ac:dyDescent="0.25">
      <c r="A180" s="160" t="s">
        <v>632</v>
      </c>
      <c r="B180" s="161">
        <f>700</f>
        <v>700</v>
      </c>
      <c r="C180" s="162"/>
      <c r="D180" s="165">
        <f t="shared" si="9"/>
        <v>1260</v>
      </c>
      <c r="E180" t="str">
        <f>_xlfn.XLOOKUP(A180,'[2]Chart of Accounts Crosswalk'!N:N,'[2]Chart of Accounts Crosswalk'!O:O,"False",0,1)</f>
        <v>11.951.00.2100.0300.000.4365</v>
      </c>
      <c r="F180" t="s">
        <v>517</v>
      </c>
    </row>
    <row r="181" spans="1:6" x14ac:dyDescent="0.25">
      <c r="A181" s="160" t="s">
        <v>633</v>
      </c>
      <c r="B181" s="161">
        <f>152246.84</f>
        <v>152246.84</v>
      </c>
      <c r="C181" s="162"/>
      <c r="D181" s="165">
        <v>291470</v>
      </c>
      <c r="E181" t="s">
        <v>634</v>
      </c>
      <c r="F181" t="s">
        <v>517</v>
      </c>
    </row>
    <row r="182" spans="1:6" x14ac:dyDescent="0.25">
      <c r="A182" s="160" t="s">
        <v>635</v>
      </c>
      <c r="B182" s="161">
        <f>152166.69</f>
        <v>152166.69</v>
      </c>
      <c r="C182" s="162"/>
      <c r="D182" s="165">
        <v>191000</v>
      </c>
      <c r="E182" t="s">
        <v>636</v>
      </c>
      <c r="F182" t="s">
        <v>517</v>
      </c>
    </row>
    <row r="183" spans="1:6" x14ac:dyDescent="0.25">
      <c r="A183" s="160" t="s">
        <v>637</v>
      </c>
      <c r="B183" s="161">
        <f>2992.39</f>
        <v>2992.39</v>
      </c>
      <c r="C183" s="162"/>
      <c r="D183" s="165">
        <f t="shared" si="9"/>
        <v>5386.3019999999997</v>
      </c>
      <c r="E183" t="s">
        <v>638</v>
      </c>
      <c r="F183" t="s">
        <v>517</v>
      </c>
    </row>
    <row r="184" spans="1:6" x14ac:dyDescent="0.25">
      <c r="A184" s="160" t="s">
        <v>639</v>
      </c>
      <c r="B184" s="161">
        <f>3676.17</f>
        <v>3676.17</v>
      </c>
      <c r="C184" s="162"/>
      <c r="D184" s="165">
        <f t="shared" si="9"/>
        <v>6617.1059999999998</v>
      </c>
      <c r="E184" t="s">
        <v>640</v>
      </c>
      <c r="F184" t="s">
        <v>517</v>
      </c>
    </row>
    <row r="185" spans="1:6" x14ac:dyDescent="0.25">
      <c r="A185" s="160" t="s">
        <v>641</v>
      </c>
      <c r="B185" s="161">
        <f>3896.04</f>
        <v>3896.04</v>
      </c>
      <c r="C185" s="162"/>
      <c r="D185" s="165">
        <f t="shared" si="9"/>
        <v>7012.8719999999994</v>
      </c>
      <c r="E185" t="s">
        <v>642</v>
      </c>
      <c r="F185" t="s">
        <v>517</v>
      </c>
    </row>
    <row r="186" spans="1:6" x14ac:dyDescent="0.25">
      <c r="A186" s="160" t="s">
        <v>643</v>
      </c>
      <c r="B186" s="161">
        <f>5783.91</f>
        <v>5783.91</v>
      </c>
      <c r="C186" s="162"/>
      <c r="D186" s="165">
        <f t="shared" si="9"/>
        <v>10411.038</v>
      </c>
      <c r="E186" t="s">
        <v>644</v>
      </c>
      <c r="F186" t="s">
        <v>517</v>
      </c>
    </row>
    <row r="187" spans="1:6" x14ac:dyDescent="0.25">
      <c r="A187" s="160" t="s">
        <v>645</v>
      </c>
      <c r="B187" s="161">
        <f>31972.15</f>
        <v>31972.15</v>
      </c>
      <c r="C187" s="162"/>
      <c r="D187" s="165">
        <f>SUM(D181*0.214)</f>
        <v>62374.58</v>
      </c>
      <c r="E187" t="s">
        <v>646</v>
      </c>
      <c r="F187" t="s">
        <v>517</v>
      </c>
    </row>
    <row r="188" spans="1:6" x14ac:dyDescent="0.25">
      <c r="A188" s="160" t="s">
        <v>647</v>
      </c>
      <c r="B188" s="161">
        <f>32349.68</f>
        <v>32349.68</v>
      </c>
      <c r="C188" s="162"/>
      <c r="D188" s="165">
        <f>SUM(D182*0.214)</f>
        <v>40874</v>
      </c>
      <c r="E188" t="s">
        <v>648</v>
      </c>
      <c r="F188" t="s">
        <v>517</v>
      </c>
    </row>
    <row r="189" spans="1:6" x14ac:dyDescent="0.25">
      <c r="A189" s="160" t="s">
        <v>649</v>
      </c>
      <c r="B189" s="161">
        <f>2175.07</f>
        <v>2175.0700000000002</v>
      </c>
      <c r="C189" s="162"/>
      <c r="D189" s="165">
        <f>SUM(D181*0.0145)</f>
        <v>4226.3150000000005</v>
      </c>
      <c r="E189" t="s">
        <v>650</v>
      </c>
      <c r="F189" t="s">
        <v>517</v>
      </c>
    </row>
    <row r="190" spans="1:6" x14ac:dyDescent="0.25">
      <c r="A190" s="160" t="s">
        <v>651</v>
      </c>
      <c r="B190" s="161">
        <f>2190.73</f>
        <v>2190.73</v>
      </c>
      <c r="C190" s="162"/>
      <c r="D190" s="165">
        <f>SUM(D182*0.0145)</f>
        <v>2769.5</v>
      </c>
      <c r="E190" t="s">
        <v>652</v>
      </c>
      <c r="F190" t="s">
        <v>517</v>
      </c>
    </row>
    <row r="191" spans="1:6" x14ac:dyDescent="0.25">
      <c r="A191" s="160" t="s">
        <v>653</v>
      </c>
      <c r="B191" s="161">
        <f>125.88</f>
        <v>125.88</v>
      </c>
      <c r="C191" s="162"/>
      <c r="D191" s="165">
        <f>SUM(D181*0.002)</f>
        <v>582.94000000000005</v>
      </c>
      <c r="E191" t="s">
        <v>654</v>
      </c>
      <c r="F191" t="s">
        <v>517</v>
      </c>
    </row>
    <row r="192" spans="1:6" x14ac:dyDescent="0.25">
      <c r="A192" s="160" t="s">
        <v>655</v>
      </c>
      <c r="B192" s="161">
        <f>128.12</f>
        <v>128.12</v>
      </c>
      <c r="C192" s="162"/>
      <c r="D192" s="165">
        <f>SUM(D182*0.002)</f>
        <v>382</v>
      </c>
      <c r="E192" t="s">
        <v>656</v>
      </c>
      <c r="F192" t="s">
        <v>517</v>
      </c>
    </row>
    <row r="193" spans="1:9" x14ac:dyDescent="0.25">
      <c r="A193" s="160" t="s">
        <v>657</v>
      </c>
      <c r="B193" s="161">
        <f>1198.2</f>
        <v>1198.2</v>
      </c>
      <c r="C193" s="162"/>
      <c r="D193" s="163">
        <f t="shared" si="9"/>
        <v>2156.7600000000002</v>
      </c>
      <c r="E193" t="s">
        <v>658</v>
      </c>
      <c r="F193" t="s">
        <v>517</v>
      </c>
    </row>
    <row r="194" spans="1:9" x14ac:dyDescent="0.25">
      <c r="A194" s="160" t="s">
        <v>659</v>
      </c>
      <c r="B194" s="161">
        <f>3231.92</f>
        <v>3231.92</v>
      </c>
      <c r="C194" s="162"/>
      <c r="D194" s="163">
        <v>4000</v>
      </c>
      <c r="E194" t="s">
        <v>660</v>
      </c>
      <c r="F194" t="s">
        <v>517</v>
      </c>
    </row>
    <row r="195" spans="1:9" x14ac:dyDescent="0.25">
      <c r="A195" s="160" t="s">
        <v>661</v>
      </c>
      <c r="B195" s="161">
        <f>8080.17</f>
        <v>8080.17</v>
      </c>
      <c r="C195" s="162"/>
      <c r="D195" s="165">
        <f t="shared" si="9"/>
        <v>14544.306</v>
      </c>
      <c r="E195" t="s">
        <v>662</v>
      </c>
      <c r="F195" t="s">
        <v>517</v>
      </c>
    </row>
    <row r="196" spans="1:9" x14ac:dyDescent="0.25">
      <c r="A196" s="160" t="s">
        <v>663</v>
      </c>
      <c r="B196" s="161">
        <f>78848.4</f>
        <v>78848.399999999994</v>
      </c>
      <c r="C196" s="162"/>
      <c r="D196" s="165">
        <f>SUM(B196/7)*11</f>
        <v>123904.62857142856</v>
      </c>
      <c r="E196" t="str">
        <f>_xlfn.XLOOKUP(A196,'[2]Chart of Accounts Crosswalk'!N:N,'[2]Chart of Accounts Crosswalk'!O:O,"False",0,1)</f>
        <v>11.951.00.2500.0300.000.0000</v>
      </c>
      <c r="F196" t="s">
        <v>517</v>
      </c>
    </row>
    <row r="197" spans="1:9" x14ac:dyDescent="0.25">
      <c r="A197" s="160" t="s">
        <v>664</v>
      </c>
      <c r="B197" s="161">
        <f>21350</f>
        <v>21350</v>
      </c>
      <c r="C197" s="162"/>
      <c r="D197" s="165">
        <v>25000</v>
      </c>
      <c r="E197" t="s">
        <v>665</v>
      </c>
      <c r="F197" t="s">
        <v>517</v>
      </c>
    </row>
    <row r="198" spans="1:9" x14ac:dyDescent="0.25">
      <c r="A198" s="160" t="s">
        <v>666</v>
      </c>
      <c r="B198" s="161">
        <f>50186.76</f>
        <v>50186.76</v>
      </c>
      <c r="C198" s="162"/>
      <c r="D198" s="165">
        <v>60000</v>
      </c>
      <c r="E198" t="s">
        <v>667</v>
      </c>
      <c r="F198" t="s">
        <v>517</v>
      </c>
      <c r="I198" t="s">
        <v>39</v>
      </c>
    </row>
    <row r="199" spans="1:9" x14ac:dyDescent="0.25">
      <c r="A199" s="160" t="s">
        <v>668</v>
      </c>
      <c r="B199" s="161">
        <f>21402.64</f>
        <v>21402.639999999999</v>
      </c>
      <c r="C199" s="162"/>
      <c r="D199" s="165">
        <v>20000</v>
      </c>
      <c r="E199" t="s">
        <v>669</v>
      </c>
      <c r="F199" t="s">
        <v>517</v>
      </c>
    </row>
    <row r="200" spans="1:9" x14ac:dyDescent="0.25">
      <c r="A200" s="160" t="s">
        <v>670</v>
      </c>
      <c r="B200" s="161">
        <f>4189.4</f>
        <v>4189.3999999999996</v>
      </c>
      <c r="C200" s="162"/>
      <c r="D200" s="165">
        <v>6000</v>
      </c>
      <c r="E200" t="s">
        <v>671</v>
      </c>
      <c r="F200" t="s">
        <v>517</v>
      </c>
    </row>
    <row r="201" spans="1:9" x14ac:dyDescent="0.25">
      <c r="A201" s="160" t="s">
        <v>672</v>
      </c>
      <c r="B201" s="161">
        <f>952.08</f>
        <v>952.08</v>
      </c>
      <c r="C201" s="162"/>
      <c r="D201" s="165">
        <v>1100</v>
      </c>
      <c r="E201" t="s">
        <v>671</v>
      </c>
      <c r="F201" t="s">
        <v>517</v>
      </c>
    </row>
    <row r="202" spans="1:9" x14ac:dyDescent="0.25">
      <c r="A202" s="160" t="s">
        <v>673</v>
      </c>
      <c r="B202" s="161">
        <f>5570.09</f>
        <v>5570.09</v>
      </c>
      <c r="C202" s="162"/>
      <c r="D202" s="165">
        <v>6000</v>
      </c>
      <c r="E202" t="s">
        <v>674</v>
      </c>
      <c r="F202" t="s">
        <v>517</v>
      </c>
    </row>
    <row r="203" spans="1:9" x14ac:dyDescent="0.25">
      <c r="A203" s="160" t="s">
        <v>675</v>
      </c>
      <c r="B203" s="161">
        <f>8130.21</f>
        <v>8130.21</v>
      </c>
      <c r="C203" s="162"/>
      <c r="D203" s="163">
        <f>SUM(B203/7)*12</f>
        <v>13937.502857142859</v>
      </c>
      <c r="E203" t="s">
        <v>676</v>
      </c>
      <c r="F203" t="s">
        <v>517</v>
      </c>
    </row>
    <row r="204" spans="1:9" ht="16.5" customHeight="1" x14ac:dyDescent="0.25">
      <c r="A204" s="160" t="s">
        <v>677</v>
      </c>
      <c r="B204" s="161">
        <f>3565</f>
        <v>3565</v>
      </c>
      <c r="C204" s="162"/>
      <c r="D204" s="163">
        <v>5000</v>
      </c>
      <c r="E204" t="s">
        <v>678</v>
      </c>
      <c r="F204" t="s">
        <v>517</v>
      </c>
    </row>
    <row r="205" spans="1:9" ht="14.25" customHeight="1" x14ac:dyDescent="0.25">
      <c r="A205" s="160" t="s">
        <v>195</v>
      </c>
      <c r="B205" s="161">
        <f>21572.1</f>
        <v>21572.1</v>
      </c>
      <c r="C205" s="162"/>
      <c r="D205" s="165">
        <v>30000</v>
      </c>
      <c r="E205" t="s">
        <v>679</v>
      </c>
      <c r="F205" t="s">
        <v>517</v>
      </c>
    </row>
    <row r="206" spans="1:9" x14ac:dyDescent="0.25">
      <c r="A206" s="160" t="s">
        <v>680</v>
      </c>
      <c r="B206" s="161">
        <f>20991.5</f>
        <v>20991.5</v>
      </c>
      <c r="C206" s="162"/>
      <c r="D206" s="165">
        <v>24000</v>
      </c>
      <c r="E206" t="s">
        <v>679</v>
      </c>
      <c r="F206" t="s">
        <v>517</v>
      </c>
    </row>
    <row r="207" spans="1:9" x14ac:dyDescent="0.25">
      <c r="A207" s="160" t="s">
        <v>681</v>
      </c>
      <c r="B207" s="161">
        <f>12694.52</f>
        <v>12694.52</v>
      </c>
      <c r="C207" s="162"/>
      <c r="D207" s="163">
        <f>SUM(B207/7)*12</f>
        <v>21762.034285714286</v>
      </c>
      <c r="E207" t="s">
        <v>682</v>
      </c>
      <c r="F207" t="s">
        <v>517</v>
      </c>
    </row>
    <row r="208" spans="1:9" x14ac:dyDescent="0.25">
      <c r="A208" s="160" t="s">
        <v>683</v>
      </c>
      <c r="B208" s="161">
        <f>76086.6</f>
        <v>76086.600000000006</v>
      </c>
      <c r="C208" s="162"/>
      <c r="D208" s="165">
        <v>115743.72</v>
      </c>
      <c r="E208" t="s">
        <v>684</v>
      </c>
      <c r="F208" t="s">
        <v>517</v>
      </c>
    </row>
    <row r="209" spans="1:6" x14ac:dyDescent="0.25">
      <c r="A209" s="160" t="s">
        <v>685</v>
      </c>
      <c r="B209" s="161">
        <f>6373.1</f>
        <v>6373.1</v>
      </c>
      <c r="C209" s="162"/>
      <c r="D209" s="165">
        <v>9645.31</v>
      </c>
      <c r="E209" t="s">
        <v>686</v>
      </c>
      <c r="F209" t="s">
        <v>517</v>
      </c>
    </row>
    <row r="210" spans="1:6" x14ac:dyDescent="0.25">
      <c r="A210" s="160" t="s">
        <v>687</v>
      </c>
      <c r="B210" s="161">
        <f>77</f>
        <v>77</v>
      </c>
      <c r="C210" s="162"/>
      <c r="D210" s="165">
        <v>140</v>
      </c>
      <c r="E210" t="s">
        <v>688</v>
      </c>
      <c r="F210" t="s">
        <v>517</v>
      </c>
    </row>
    <row r="211" spans="1:6" x14ac:dyDescent="0.25">
      <c r="A211" s="160" t="s">
        <v>689</v>
      </c>
      <c r="B211" s="161">
        <f>43942</f>
        <v>43942</v>
      </c>
      <c r="C211" s="162"/>
      <c r="D211" s="165">
        <v>60000</v>
      </c>
      <c r="E211" t="s">
        <v>690</v>
      </c>
      <c r="F211" t="s">
        <v>517</v>
      </c>
    </row>
    <row r="212" spans="1:6" x14ac:dyDescent="0.25">
      <c r="A212" s="160" t="s">
        <v>691</v>
      </c>
      <c r="B212" s="161">
        <f>6600</f>
        <v>6600</v>
      </c>
      <c r="C212" s="162"/>
      <c r="D212" s="163">
        <v>7400</v>
      </c>
      <c r="E212" t="s">
        <v>692</v>
      </c>
      <c r="F212" t="s">
        <v>517</v>
      </c>
    </row>
    <row r="213" spans="1:6" x14ac:dyDescent="0.25">
      <c r="A213" s="160" t="s">
        <v>693</v>
      </c>
      <c r="B213" s="161">
        <f>47904.73</f>
        <v>47904.73</v>
      </c>
      <c r="C213" s="162"/>
      <c r="D213" s="165">
        <v>106900</v>
      </c>
      <c r="E213" t="s">
        <v>694</v>
      </c>
      <c r="F213" t="s">
        <v>517</v>
      </c>
    </row>
    <row r="214" spans="1:6" x14ac:dyDescent="0.25">
      <c r="A214" s="160" t="s">
        <v>695</v>
      </c>
      <c r="B214" s="161">
        <f>405.89</f>
        <v>405.89</v>
      </c>
      <c r="C214" s="162"/>
      <c r="D214" s="165">
        <v>500</v>
      </c>
      <c r="E214" t="s">
        <v>696</v>
      </c>
      <c r="F214" t="s">
        <v>517</v>
      </c>
    </row>
    <row r="215" spans="1:6" x14ac:dyDescent="0.25">
      <c r="A215" s="160" t="s">
        <v>697</v>
      </c>
      <c r="B215" s="161">
        <f>1047.94</f>
        <v>1047.94</v>
      </c>
      <c r="C215" s="162"/>
      <c r="D215" s="165">
        <v>1200</v>
      </c>
      <c r="E215" t="s">
        <v>698</v>
      </c>
      <c r="F215" t="s">
        <v>517</v>
      </c>
    </row>
    <row r="216" spans="1:6" x14ac:dyDescent="0.25">
      <c r="A216" s="160" t="s">
        <v>699</v>
      </c>
      <c r="B216" s="161">
        <f>2610.87</f>
        <v>2610.87</v>
      </c>
      <c r="C216" s="162"/>
      <c r="D216" s="165">
        <f t="shared" si="9"/>
        <v>4699.5660000000007</v>
      </c>
      <c r="E216" t="s">
        <v>700</v>
      </c>
      <c r="F216" t="s">
        <v>517</v>
      </c>
    </row>
    <row r="217" spans="1:6" x14ac:dyDescent="0.25">
      <c r="A217" s="160" t="s">
        <v>701</v>
      </c>
      <c r="B217" s="161">
        <f>10251.59</f>
        <v>10251.59</v>
      </c>
      <c r="C217" s="162"/>
      <c r="D217" s="165">
        <f>SUM(D213*0.214)</f>
        <v>22876.6</v>
      </c>
      <c r="E217" t="s">
        <v>702</v>
      </c>
      <c r="F217" t="s">
        <v>517</v>
      </c>
    </row>
    <row r="218" spans="1:6" x14ac:dyDescent="0.25">
      <c r="A218" s="160" t="s">
        <v>703</v>
      </c>
      <c r="B218" s="161">
        <f>657.34</f>
        <v>657.34</v>
      </c>
      <c r="C218" s="162"/>
      <c r="D218" s="165">
        <f>SUM(D213*0.0145)</f>
        <v>1550.0500000000002</v>
      </c>
      <c r="E218" t="s">
        <v>704</v>
      </c>
      <c r="F218" t="s">
        <v>517</v>
      </c>
    </row>
    <row r="219" spans="1:6" x14ac:dyDescent="0.25">
      <c r="A219" s="160" t="s">
        <v>705</v>
      </c>
      <c r="B219" s="161">
        <f>30.78</f>
        <v>30.78</v>
      </c>
      <c r="C219" s="162"/>
      <c r="D219" s="165">
        <f>SUM(D213*0.002)</f>
        <v>213.8</v>
      </c>
      <c r="E219" t="s">
        <v>706</v>
      </c>
      <c r="F219" t="s">
        <v>517</v>
      </c>
    </row>
    <row r="220" spans="1:6" x14ac:dyDescent="0.25">
      <c r="A220" s="160" t="s">
        <v>707</v>
      </c>
      <c r="B220" s="161">
        <f>159.76</f>
        <v>159.76</v>
      </c>
      <c r="C220" s="162"/>
      <c r="D220" s="165">
        <f t="shared" si="9"/>
        <v>287.56799999999998</v>
      </c>
      <c r="E220" t="s">
        <v>708</v>
      </c>
      <c r="F220" t="s">
        <v>517</v>
      </c>
    </row>
    <row r="221" spans="1:6" x14ac:dyDescent="0.25">
      <c r="A221" s="160" t="s">
        <v>709</v>
      </c>
      <c r="B221" s="161">
        <f>8447</f>
        <v>8447</v>
      </c>
      <c r="C221" s="162"/>
      <c r="D221" s="165">
        <v>15000</v>
      </c>
      <c r="E221" t="str">
        <f>_xlfn.XLOOKUP(A221,'[2]Chart of Accounts Crosswalk'!N:N,'[2]Chart of Accounts Crosswalk'!O:O,"False",0,1)</f>
        <v>11.951.00.2600.0300.000.0000</v>
      </c>
      <c r="F221" t="s">
        <v>517</v>
      </c>
    </row>
    <row r="222" spans="1:6" x14ac:dyDescent="0.25">
      <c r="A222" s="160" t="s">
        <v>710</v>
      </c>
      <c r="B222" s="161">
        <f>93934.91</f>
        <v>93934.91</v>
      </c>
      <c r="C222" s="162"/>
      <c r="D222" s="163">
        <f t="shared" si="9"/>
        <v>169082.83800000002</v>
      </c>
      <c r="E222" t="s">
        <v>711</v>
      </c>
      <c r="F222" t="s">
        <v>517</v>
      </c>
    </row>
    <row r="223" spans="1:6" x14ac:dyDescent="0.25">
      <c r="A223" s="160" t="s">
        <v>712</v>
      </c>
      <c r="B223" s="161">
        <f>785</f>
        <v>785</v>
      </c>
      <c r="C223" s="162"/>
      <c r="D223" s="163">
        <v>1100</v>
      </c>
      <c r="E223" t="s">
        <v>713</v>
      </c>
      <c r="F223" t="s">
        <v>517</v>
      </c>
    </row>
    <row r="224" spans="1:6" x14ac:dyDescent="0.25">
      <c r="A224" s="160" t="s">
        <v>714</v>
      </c>
      <c r="B224" s="161">
        <f>5960</f>
        <v>5960</v>
      </c>
      <c r="C224" s="162"/>
      <c r="D224" s="163">
        <v>8000</v>
      </c>
      <c r="E224" t="s">
        <v>715</v>
      </c>
      <c r="F224" t="s">
        <v>517</v>
      </c>
    </row>
    <row r="225" spans="1:6" x14ac:dyDescent="0.25">
      <c r="A225" s="160" t="s">
        <v>716</v>
      </c>
      <c r="B225" s="161">
        <f>13610</f>
        <v>13610</v>
      </c>
      <c r="C225" s="162"/>
      <c r="D225" s="163">
        <v>20000</v>
      </c>
      <c r="E225" t="s">
        <v>717</v>
      </c>
      <c r="F225" t="s">
        <v>517</v>
      </c>
    </row>
    <row r="226" spans="1:6" x14ac:dyDescent="0.25">
      <c r="A226" s="160" t="s">
        <v>718</v>
      </c>
      <c r="B226" s="161">
        <f>11530.94</f>
        <v>11530.94</v>
      </c>
      <c r="C226" s="162"/>
      <c r="D226" s="165">
        <f>SUM(B226/7)*12*1.03</f>
        <v>20360.345485714286</v>
      </c>
      <c r="E226" t="s">
        <v>719</v>
      </c>
      <c r="F226" t="s">
        <v>517</v>
      </c>
    </row>
    <row r="227" spans="1:6" x14ac:dyDescent="0.25">
      <c r="A227" s="160" t="s">
        <v>720</v>
      </c>
      <c r="B227" s="161">
        <f>50014.87</f>
        <v>50014.87</v>
      </c>
      <c r="C227" s="162"/>
      <c r="D227" s="165">
        <f>SUM(B227/7)*12*1.1</f>
        <v>94313.754857142863</v>
      </c>
      <c r="E227" t="s">
        <v>721</v>
      </c>
      <c r="F227" t="s">
        <v>517</v>
      </c>
    </row>
    <row r="228" spans="1:6" x14ac:dyDescent="0.25">
      <c r="A228" s="160" t="s">
        <v>722</v>
      </c>
      <c r="B228" s="161">
        <f>1575</f>
        <v>1575</v>
      </c>
      <c r="C228" s="162"/>
      <c r="D228" s="165">
        <f t="shared" si="9"/>
        <v>2835</v>
      </c>
      <c r="E228" t="s">
        <v>723</v>
      </c>
      <c r="F228" t="s">
        <v>517</v>
      </c>
    </row>
    <row r="229" spans="1:6" x14ac:dyDescent="0.25">
      <c r="A229" s="160" t="s">
        <v>724</v>
      </c>
      <c r="B229" s="161">
        <f>4529.52</f>
        <v>4529.5200000000004</v>
      </c>
      <c r="C229" s="162"/>
      <c r="D229" s="165">
        <v>7000</v>
      </c>
      <c r="E229" t="s">
        <v>725</v>
      </c>
      <c r="F229" t="s">
        <v>517</v>
      </c>
    </row>
    <row r="230" spans="1:6" x14ac:dyDescent="0.25">
      <c r="A230" s="160" t="s">
        <v>726</v>
      </c>
      <c r="B230" s="161">
        <f>44128.35</f>
        <v>44128.35</v>
      </c>
      <c r="C230" s="162"/>
      <c r="D230" s="165">
        <v>50000</v>
      </c>
      <c r="E230" t="s">
        <v>727</v>
      </c>
      <c r="F230" t="s">
        <v>517</v>
      </c>
    </row>
    <row r="231" spans="1:6" x14ac:dyDescent="0.25">
      <c r="A231" s="160" t="s">
        <v>728</v>
      </c>
      <c r="B231" s="161">
        <f>710.01</f>
        <v>710.01</v>
      </c>
      <c r="C231" s="162"/>
      <c r="D231" s="165">
        <v>1200</v>
      </c>
      <c r="E231" t="s">
        <v>729</v>
      </c>
      <c r="F231" t="s">
        <v>517</v>
      </c>
    </row>
    <row r="232" spans="1:6" x14ac:dyDescent="0.25">
      <c r="A232" s="160" t="s">
        <v>730</v>
      </c>
      <c r="B232" s="161">
        <f>12059.14</f>
        <v>12059.14</v>
      </c>
      <c r="C232" s="162"/>
      <c r="D232" s="165">
        <v>18000</v>
      </c>
      <c r="E232" t="s">
        <v>725</v>
      </c>
      <c r="F232" t="s">
        <v>517</v>
      </c>
    </row>
    <row r="233" spans="1:6" x14ac:dyDescent="0.25">
      <c r="A233" s="160" t="s">
        <v>731</v>
      </c>
      <c r="B233" s="161">
        <f>747</f>
        <v>747</v>
      </c>
      <c r="C233" s="162"/>
      <c r="D233" s="165">
        <v>1400</v>
      </c>
      <c r="E233" t="s">
        <v>732</v>
      </c>
      <c r="F233" t="s">
        <v>517</v>
      </c>
    </row>
    <row r="234" spans="1:6" x14ac:dyDescent="0.25">
      <c r="A234" s="160" t="s">
        <v>733</v>
      </c>
      <c r="B234" s="161">
        <f>7627.14</f>
        <v>7627.14</v>
      </c>
      <c r="C234" s="162"/>
      <c r="D234" s="165">
        <v>12000</v>
      </c>
      <c r="E234" t="s">
        <v>727</v>
      </c>
      <c r="F234" t="s">
        <v>517</v>
      </c>
    </row>
    <row r="235" spans="1:6" x14ac:dyDescent="0.25">
      <c r="A235" s="160" t="s">
        <v>734</v>
      </c>
      <c r="B235" s="161">
        <f>103</f>
        <v>103</v>
      </c>
      <c r="C235" s="162"/>
      <c r="D235" s="165">
        <v>700</v>
      </c>
      <c r="E235" t="s">
        <v>727</v>
      </c>
      <c r="F235" t="s">
        <v>517</v>
      </c>
    </row>
    <row r="236" spans="1:6" x14ac:dyDescent="0.25">
      <c r="A236" s="160" t="s">
        <v>735</v>
      </c>
      <c r="B236" s="161">
        <f>245</f>
        <v>245</v>
      </c>
      <c r="C236" s="162"/>
      <c r="D236" s="165">
        <v>1000</v>
      </c>
      <c r="E236" t="s">
        <v>736</v>
      </c>
      <c r="F236" t="s">
        <v>517</v>
      </c>
    </row>
    <row r="237" spans="1:6" x14ac:dyDescent="0.25">
      <c r="A237" s="160" t="s">
        <v>737</v>
      </c>
      <c r="B237" s="161">
        <f>1885.13</f>
        <v>1885.13</v>
      </c>
      <c r="C237" s="162"/>
      <c r="D237" s="165">
        <v>3000</v>
      </c>
      <c r="E237" t="s">
        <v>738</v>
      </c>
      <c r="F237" t="s">
        <v>517</v>
      </c>
    </row>
    <row r="238" spans="1:6" x14ac:dyDescent="0.25">
      <c r="A238" s="160" t="s">
        <v>739</v>
      </c>
      <c r="B238" s="161">
        <f>11887.24</f>
        <v>11887.24</v>
      </c>
      <c r="C238" s="162"/>
      <c r="D238" s="165">
        <f>SUM(B238/7)*10*1.05</f>
        <v>17830.86</v>
      </c>
      <c r="E238" t="s">
        <v>740</v>
      </c>
      <c r="F238" t="s">
        <v>517</v>
      </c>
    </row>
    <row r="239" spans="1:6" x14ac:dyDescent="0.25">
      <c r="A239" s="160" t="s">
        <v>741</v>
      </c>
      <c r="B239" s="161">
        <f>693.8</f>
        <v>693.8</v>
      </c>
      <c r="C239" s="162"/>
      <c r="D239" s="165">
        <v>1200</v>
      </c>
      <c r="E239" t="s">
        <v>742</v>
      </c>
      <c r="F239" t="s">
        <v>517</v>
      </c>
    </row>
    <row r="240" spans="1:6" x14ac:dyDescent="0.25">
      <c r="A240" s="160" t="s">
        <v>743</v>
      </c>
      <c r="B240" s="161">
        <f>23.97</f>
        <v>23.97</v>
      </c>
      <c r="C240" s="162"/>
      <c r="D240" s="165">
        <v>70</v>
      </c>
      <c r="E240" t="s">
        <v>744</v>
      </c>
      <c r="F240" t="s">
        <v>517</v>
      </c>
    </row>
    <row r="241" spans="1:7" x14ac:dyDescent="0.25">
      <c r="A241" s="160" t="s">
        <v>745</v>
      </c>
      <c r="B241" s="161">
        <f>1917.5</f>
        <v>1917.5</v>
      </c>
      <c r="C241" s="162"/>
      <c r="D241" s="165">
        <v>3000</v>
      </c>
      <c r="E241" t="s">
        <v>746</v>
      </c>
      <c r="F241" t="s">
        <v>517</v>
      </c>
    </row>
    <row r="242" spans="1:7" x14ac:dyDescent="0.25">
      <c r="A242" s="160" t="s">
        <v>747</v>
      </c>
      <c r="B242" s="161">
        <f>386</f>
        <v>386</v>
      </c>
      <c r="C242" s="162"/>
      <c r="D242" s="165">
        <v>600</v>
      </c>
      <c r="E242" t="s">
        <v>748</v>
      </c>
      <c r="F242" t="s">
        <v>517</v>
      </c>
    </row>
    <row r="243" spans="1:7" x14ac:dyDescent="0.25">
      <c r="A243" s="160" t="s">
        <v>749</v>
      </c>
      <c r="B243" s="161">
        <f>152.8</f>
        <v>152.80000000000001</v>
      </c>
      <c r="C243" s="162"/>
      <c r="D243" s="165">
        <v>300</v>
      </c>
      <c r="E243" t="s">
        <v>750</v>
      </c>
      <c r="F243" t="s">
        <v>517</v>
      </c>
    </row>
    <row r="244" spans="1:7" x14ac:dyDescent="0.25">
      <c r="A244" s="160" t="s">
        <v>751</v>
      </c>
      <c r="B244" s="161">
        <f>258.22</f>
        <v>258.22000000000003</v>
      </c>
      <c r="C244" s="162"/>
      <c r="D244" s="165">
        <v>350</v>
      </c>
      <c r="E244" t="s">
        <v>752</v>
      </c>
      <c r="F244" t="s">
        <v>517</v>
      </c>
    </row>
    <row r="245" spans="1:7" x14ac:dyDescent="0.25">
      <c r="A245" s="160" t="s">
        <v>753</v>
      </c>
      <c r="B245" s="161">
        <f>2174</f>
        <v>2174</v>
      </c>
      <c r="C245" s="162"/>
      <c r="D245" s="165">
        <f t="shared" ref="D245:D247" si="10">SUM(B245/7)*12*1.05</f>
        <v>3913.2</v>
      </c>
      <c r="E245" t="s">
        <v>754</v>
      </c>
      <c r="F245" t="s">
        <v>517</v>
      </c>
      <c r="G245" t="s">
        <v>755</v>
      </c>
    </row>
    <row r="246" spans="1:7" x14ac:dyDescent="0.25">
      <c r="A246" s="160" t="s">
        <v>756</v>
      </c>
      <c r="B246" s="161">
        <f>61959.6</f>
        <v>61959.6</v>
      </c>
      <c r="C246" s="162"/>
      <c r="D246" s="163">
        <f t="shared" si="10"/>
        <v>111527.28</v>
      </c>
      <c r="E246" t="s">
        <v>757</v>
      </c>
      <c r="F246" t="s">
        <v>517</v>
      </c>
      <c r="G246" t="s">
        <v>755</v>
      </c>
    </row>
    <row r="247" spans="1:7" x14ac:dyDescent="0.25">
      <c r="A247" s="164" t="s">
        <v>138</v>
      </c>
      <c r="B247" s="161">
        <f>386.54</f>
        <v>386.54</v>
      </c>
      <c r="C247" s="162"/>
      <c r="D247" s="165">
        <f t="shared" si="10"/>
        <v>695.77200000000016</v>
      </c>
      <c r="E247" t="s">
        <v>758</v>
      </c>
      <c r="F247" t="s">
        <v>517</v>
      </c>
    </row>
    <row r="248" spans="1:7" x14ac:dyDescent="0.25">
      <c r="A248" s="160" t="s">
        <v>759</v>
      </c>
      <c r="B248" s="161">
        <f>339623.54</f>
        <v>339623.54</v>
      </c>
      <c r="C248" s="162"/>
      <c r="D248" s="165">
        <v>504075</v>
      </c>
      <c r="E248" t="s">
        <v>760</v>
      </c>
      <c r="F248" t="s">
        <v>517</v>
      </c>
    </row>
    <row r="249" spans="1:7" x14ac:dyDescent="0.25">
      <c r="A249" s="160" t="s">
        <v>274</v>
      </c>
      <c r="B249" s="166" t="e">
        <f>(((((((((((((((((((((((((((((((((((((((((((((((((((((((((((((((((((((((((((((((((((((((((((((((((((((((((((((((((((((((((((((((((((((((((((((((((((((((((((((((((((((((((((((((((((((((((((((((((((((((((((((((((((((((((((((((((((((((((((((((((((((B6)+(B7))+(B8))+(B9))+(B10)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)+(B88))+(B89))+(B90))+(B91))+(B92))+(B93))+(B94))+(B95))+(B96))+(B97))+(B98))+(B99))+(B100))+(B101))+(B102))+(B103))+(B104))+(B105))+(B106))+(B107))+(B108))+(B109))+(B110))+(B111))+(B112))+(B113))+(B114))+(B115))+(B116))+(B117))+(B118))+(B119))+(B120))+(B121))+(B122))+(B123))+(B124))+(B125))+(B126))+(B127))+(B128))+(B129))+(#REF!))+(B130))+(B131))+(B132))+(#REF!))+(B133))+(B134))+(B135))+(B136))+(B137))+(B138))+(B139))+(B140))+(B141))+(B142))+(B143))+(B144))+(B145))+(B146))+(B147))+(B148))+(B149))+(B150))+(B151))+(B152))+(B153))+(B154))+(#REF!))+(B155))+(B156))+(B157))+(B158))+(B159))+(B160))+(B161))+(B162))+(B163))+(B164))+(B165))+(B166))+(B167))+(B168))+(B169))+(B170))+(B171))+(B172))+(B173))+(B174))+(B175))+(B176))+(B177))+(B178))+(B179))+(B180))+(B181))+(B182))+(B183))+(B184))+(B185))+(B186))+(B187))+(B188))+(B189))+(B190))+(B191))+(B192))+(B193))+(B194))+(B195))+(B196))+(B197))+(B198))+(B199))+(B200))+(B201))+(B202))+(B203))+(B204))+(B205))+(B206))+(B207))+(B208))+(B209))+(B210))+(B211))+(B212))+(B213))+(B214))+(B215))+(B216))+(B217))+(B218))+(B219))+(B220))+(B221))+(B222))+(B223))+(B224))+(B225))+(B226))+(B227))+(B228))+(B229))+(B230))+(B231))+(B232))+(B233))+(B234))+(B235))+(B236))+(B237))+(B238))+(B239))+(B240))+(B241))+(B242))+(B243))+(B244))+(B245))+(B246))+(B247))+(B248)</f>
        <v>#REF!</v>
      </c>
      <c r="C249" s="166" t="e">
        <f>(((((((((((((((((((((((((((((((((((((((((((((((((((((((((((((((((((((((((((((((((((((((((((((((((((((((((((((((((((((((((((((((((((((((((((((((((((((((((((((((((((((((((((((((((((((((((((((((((((((((((((((((((((((((((((((((((((((((((((((((((((((C6)+(C7))+(C8))+(C9))+(C10))+(C11))+(C12))+(C13))+(C14))+(C15))+(C16))+(C17))+(C18))+(C19))+(C20))+(C21))+(C22))+(C23)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)+(C87))+(C88))+(C89))+(C90))+(C91))+(C92))+(C93))+(C94))+(C95))+(C96))+(C97))+(C98))+(C99))+(C100))+(C101))+(C102))+(C103))+(C104))+(C105))+(C106))+(C107))+(C108))+(C109))+(C110))+(C111))+(C112))+(C113))+(C114))+(C115))+(C116))+(C117))+(C118))+(C119))+(C120))+(C121))+(C122))+(C123))+(C124))+(C125))+(C126))+(C127))+(C128))+(C129))+(#REF!))+(C130))+(C131))+(C132))+(#REF!))+(C133))+(C134))+(C135))+(C136))+(C137))+(C138))+(C139))+(C140))+(C141))+(C142))+(C143))+(C144))+(C145))+(C146))+(C147))+(C148))+(C149))+(C150))+(C151))+(C152))+(C153))+(C154))+(#REF!))+(C155))+(C156))+(C157))+(C158))+(C159))+(C160))+(C161))+(C162))+(C163))+(C164))+(C165))+(C166))+(C167))+(C168))+(C169))+(C170))+(C171))+(C172))+(C173))+(C174))+(C175))+(C176))+(C177))+(C178))+(C179))+(C180))+(C181))+(C182))+(C183))+(C184))+(C185))+(C186))+(C187))+(C188))+(C189))+(C190))+(C191))+(C192))+(C193))+(C194))+(C195))+(C196))+(C197))+(C198))+(C199))+(C200))+(C201))+(C202))+(C203))+(C204))+(C205))+(C206))+(C207))+(C208))+(C209))+(C210))+(C211))+(C212))+(C213))+(C214))+(C215))+(C216))+(C217))+(C218))+(C219))+(C220))+(C221))+(C222))+(C223))+(C224))+(C225))+(C226))+(C227))+(C228))+(C229))+(C230))+(C231))+(C232))+(C233))+(C234))+(C235))+(C236))+(C237))+(C238))+(C239))+(C240))+(C241))+(C242))+(C243))+(C244))+(C245))+(C246))+(C247))+(C248)</f>
        <v>#REF!</v>
      </c>
      <c r="D249" s="158">
        <f>SUM(D115:D248)</f>
        <v>5643068.2198805595</v>
      </c>
      <c r="E249" t="str">
        <f>_xlfn.XLOOKUP(A249,'[2]Chart of Accounts Crosswalk'!N:N,'[2]Chart of Accounts Crosswalk'!O:O,"False",0,1)</f>
        <v>False</v>
      </c>
    </row>
    <row r="250" spans="1:7" x14ac:dyDescent="0.25">
      <c r="A250" s="160"/>
      <c r="B250" s="162"/>
      <c r="C250" s="162"/>
    </row>
    <row r="251" spans="1:7" x14ac:dyDescent="0.25">
      <c r="D251" s="158">
        <f>SUM(D115:D248)</f>
        <v>5643068.2198805595</v>
      </c>
    </row>
    <row r="259" spans="3:6" x14ac:dyDescent="0.25">
      <c r="C259">
        <v>5623087</v>
      </c>
      <c r="F259" s="67">
        <f>5703687-5659038.68</f>
        <v>44648.320000000298</v>
      </c>
    </row>
    <row r="263" spans="3:6" x14ac:dyDescent="0.25">
      <c r="C263" s="67">
        <f>C259-D251</f>
        <v>-19981.219880559482</v>
      </c>
    </row>
    <row r="264" spans="3:6" x14ac:dyDescent="0.25">
      <c r="C264" s="67">
        <f>C263+25000</f>
        <v>5018.7801194405183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D5C9C1F52B142831C74D459662320" ma:contentTypeVersion="11" ma:contentTypeDescription="Create a new document." ma:contentTypeScope="" ma:versionID="32f312a5d9f5ff4a669234dcd67a78a2">
  <xsd:schema xmlns:xsd="http://www.w3.org/2001/XMLSchema" xmlns:xs="http://www.w3.org/2001/XMLSchema" xmlns:p="http://schemas.microsoft.com/office/2006/metadata/properties" xmlns:ns2="979b65f8-fa39-482e-b872-311272f62e71" xmlns:ns3="7db3ae5f-f9f8-46d2-8d9d-d56fae380993" targetNamespace="http://schemas.microsoft.com/office/2006/metadata/properties" ma:root="true" ma:fieldsID="ae5aab57cc93ebed2c7eaeee0facc3f2" ns2:_="" ns3:_="">
    <xsd:import namespace="979b65f8-fa39-482e-b872-311272f62e71"/>
    <xsd:import namespace="7db3ae5f-f9f8-46d2-8d9d-d56fae380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b65f8-fa39-482e-b872-311272f62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df547b-fbb5-4a75-ae95-80b26f6576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3ae5f-f9f8-46d2-8d9d-d56fae3809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5028f8-917e-4e8e-a6b9-13e04d470ba1}" ma:internalName="TaxCatchAll" ma:showField="CatchAllData" ma:web="7db3ae5f-f9f8-46d2-8d9d-d56fae380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9b65f8-fa39-482e-b872-311272f62e71">
      <Terms xmlns="http://schemas.microsoft.com/office/infopath/2007/PartnerControls"/>
    </lcf76f155ced4ddcb4097134ff3c332f>
    <TaxCatchAll xmlns="7db3ae5f-f9f8-46d2-8d9d-d56fae380993" xsi:nil="true"/>
  </documentManagement>
</p:properties>
</file>

<file path=customXml/itemProps1.xml><?xml version="1.0" encoding="utf-8"?>
<ds:datastoreItem xmlns:ds="http://schemas.openxmlformats.org/officeDocument/2006/customXml" ds:itemID="{8CFA15A8-72F4-48C2-87FE-227F1A3CC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b65f8-fa39-482e-b872-311272f62e71"/>
    <ds:schemaRef ds:uri="7db3ae5f-f9f8-46d2-8d9d-d56fae380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821A0A-4463-4881-9081-EEE5C6EEE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B1D75-9DE4-4EBB-B104-43BF80DC4727}">
  <ds:schemaRefs>
    <ds:schemaRef ds:uri="http://schemas.microsoft.com/office/2006/metadata/properties"/>
    <ds:schemaRef ds:uri="http://schemas.microsoft.com/office/infopath/2007/PartnerControls"/>
    <ds:schemaRef ds:uri="979b65f8-fa39-482e-b872-311272f62e71"/>
    <ds:schemaRef ds:uri="7db3ae5f-f9f8-46d2-8d9d-d56fae380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Budget</vt:lpstr>
      <vt:lpstr>Highlights</vt:lpstr>
      <vt:lpstr>Enrollment</vt:lpstr>
      <vt:lpstr>State Sources</vt:lpstr>
      <vt:lpstr>Federal Sources</vt:lpstr>
      <vt:lpstr>Local Sources</vt:lpstr>
      <vt:lpstr>Operating Expenditures</vt:lpstr>
      <vt:lpstr>Bond Intercept Schedule</vt:lpstr>
      <vt:lpstr>Opr Exp as of Feb 25</vt:lpstr>
      <vt:lpstr>Software line items</vt:lpstr>
      <vt:lpstr>'Bond Intercept Schedule'!Print_Area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Karger</dc:creator>
  <cp:keywords/>
  <dc:description/>
  <cp:lastModifiedBy>Sarah Siegrist</cp:lastModifiedBy>
  <cp:revision/>
  <dcterms:created xsi:type="dcterms:W3CDTF">2022-01-25T00:01:53Z</dcterms:created>
  <dcterms:modified xsi:type="dcterms:W3CDTF">2025-04-08T17:53:17Z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0x010100A46D5C9C1F52B142831C74D459662320</vt:lpwstr>
  </property>
  <property fmtid="{D5CDD505-2E9C-101B-9397-08002B2CF9AE}" pid="5" name="MediaServiceImageTags">
    <vt:lpwstr/>
  </property>
</Properties>
</file>