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urabacuscom.sharepoint.com/sites/ColoradoSpringsCharterAcademy/Shared Documents/Budgets/24-25/2024-2025 Amended Budget rev MLE 1.26 ss/"/>
    </mc:Choice>
  </mc:AlternateContent>
  <xr:revisionPtr revIDLastSave="15" documentId="8_{56D38D6B-4165-4711-A1DE-B373F5C24DD0}" xr6:coauthVersionLast="47" xr6:coauthVersionMax="47" xr10:uidLastSave="{C95C3BEF-D5BD-452E-B00A-25D17C7DB3C7}"/>
  <bookViews>
    <workbookView xWindow="-28065" yWindow="930" windowWidth="25560" windowHeight="13740" tabRatio="807" xr2:uid="{7B031A97-A352-49A0-9AF1-A6D7BE915A4A}"/>
  </bookViews>
  <sheets>
    <sheet name="Budget" sheetId="1" r:id="rId1"/>
    <sheet name="Highlights" sheetId="14" r:id="rId2"/>
    <sheet name="Enrollment" sheetId="10" r:id="rId3"/>
    <sheet name="State Sources" sheetId="2" r:id="rId4"/>
    <sheet name="Federal Sources" sheetId="3" r:id="rId5"/>
    <sheet name="Local Sources" sheetId="4" r:id="rId6"/>
    <sheet name="Staffing" sheetId="5" r:id="rId7"/>
    <sheet name="Operating Expenditures" sheetId="6" r:id="rId8"/>
    <sheet name="Bond Intercept Schedule" sheetId="12" r:id="rId9"/>
    <sheet name="Software line items" sheetId="13" r:id="rId10"/>
  </sheets>
  <externalReferences>
    <externalReference r:id="rId11"/>
  </externalReferences>
  <definedNames>
    <definedName name="_xlnm.Print_Area" localSheetId="8">'Bond Intercept Schedule'!$A$1:$M$373</definedName>
    <definedName name="_xlnm.Print_Area" localSheetId="0">Budget!$A$1:$F$52</definedName>
    <definedName name="_xlnm.Print_Area" localSheetId="6">Staffing!$A$1:$F$63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3" i="1"/>
  <c r="B17" i="2"/>
  <c r="F23" i="1" l="1"/>
  <c r="F25" i="1"/>
  <c r="F26" i="1"/>
  <c r="F27" i="1"/>
  <c r="F28" i="1"/>
  <c r="F29" i="1"/>
  <c r="F30" i="1"/>
  <c r="F31" i="1"/>
  <c r="F32" i="1"/>
  <c r="F33" i="1"/>
  <c r="F34" i="1"/>
  <c r="F35" i="1"/>
  <c r="F22" i="1"/>
  <c r="F10" i="1"/>
  <c r="F11" i="1"/>
  <c r="F12" i="1"/>
  <c r="F13" i="1"/>
  <c r="F14" i="1"/>
  <c r="F15" i="1"/>
  <c r="F16" i="1"/>
  <c r="F17" i="1"/>
  <c r="F18" i="1"/>
  <c r="F7" i="1"/>
  <c r="B21" i="2" l="1"/>
  <c r="I54" i="5" l="1"/>
  <c r="I55" i="5"/>
  <c r="I56" i="5"/>
  <c r="I57" i="5"/>
  <c r="I58" i="5"/>
  <c r="I59" i="5"/>
  <c r="H56" i="5"/>
  <c r="H57" i="5"/>
  <c r="H58" i="5"/>
  <c r="H59" i="5"/>
  <c r="E59" i="5"/>
  <c r="E58" i="5"/>
  <c r="E57" i="5"/>
  <c r="E56" i="5"/>
  <c r="J62" i="5" l="1"/>
  <c r="H4" i="5"/>
  <c r="I4" i="5" s="1"/>
  <c r="H5" i="5"/>
  <c r="I5" i="5" s="1"/>
  <c r="H6" i="5"/>
  <c r="I6" i="5" s="1"/>
  <c r="H7" i="5"/>
  <c r="H8" i="5"/>
  <c r="I8" i="5" s="1"/>
  <c r="H9" i="5"/>
  <c r="I9" i="5" s="1"/>
  <c r="H10" i="5"/>
  <c r="I10" i="5" s="1"/>
  <c r="H11" i="5"/>
  <c r="H12" i="5"/>
  <c r="H13" i="5"/>
  <c r="I13" i="5" s="1"/>
  <c r="H14" i="5"/>
  <c r="I14" i="5" s="1"/>
  <c r="H15" i="5"/>
  <c r="H16" i="5"/>
  <c r="H17" i="5"/>
  <c r="I17" i="5" s="1"/>
  <c r="H18" i="5"/>
  <c r="I18" i="5" s="1"/>
  <c r="H19" i="5"/>
  <c r="H20" i="5"/>
  <c r="H21" i="5"/>
  <c r="I21" i="5" s="1"/>
  <c r="H22" i="5"/>
  <c r="I22" i="5" s="1"/>
  <c r="H23" i="5"/>
  <c r="H24" i="5"/>
  <c r="I24" i="5" s="1"/>
  <c r="H25" i="5"/>
  <c r="I25" i="5" s="1"/>
  <c r="H37" i="5"/>
  <c r="I37" i="5" s="1"/>
  <c r="H46" i="5"/>
  <c r="H47" i="5"/>
  <c r="I47" i="5" s="1"/>
  <c r="H48" i="5"/>
  <c r="I48" i="5" s="1"/>
  <c r="H49" i="5"/>
  <c r="I49" i="5" s="1"/>
  <c r="H50" i="5"/>
  <c r="I50" i="5" s="1"/>
  <c r="H51" i="5"/>
  <c r="I51" i="5" s="1"/>
  <c r="H52" i="5"/>
  <c r="I52" i="5" s="1"/>
  <c r="H53" i="5"/>
  <c r="I53" i="5" s="1"/>
  <c r="H54" i="5"/>
  <c r="H55" i="5"/>
  <c r="H60" i="5"/>
  <c r="I60" i="5" s="1"/>
  <c r="H3" i="5"/>
  <c r="E39" i="5"/>
  <c r="E40" i="5"/>
  <c r="H40" i="5" s="1"/>
  <c r="E41" i="5"/>
  <c r="H41" i="5" s="1"/>
  <c r="I41" i="5" s="1"/>
  <c r="E42" i="5"/>
  <c r="H42" i="5" s="1"/>
  <c r="I42" i="5" s="1"/>
  <c r="E43" i="5"/>
  <c r="E44" i="5"/>
  <c r="H44" i="5" s="1"/>
  <c r="I44" i="5" s="1"/>
  <c r="E45" i="5"/>
  <c r="H45" i="5" s="1"/>
  <c r="I45" i="5" s="1"/>
  <c r="E38" i="5"/>
  <c r="H38" i="5" s="1"/>
  <c r="I38" i="5" s="1"/>
  <c r="E27" i="5"/>
  <c r="H27" i="5" s="1"/>
  <c r="I27" i="5" s="1"/>
  <c r="E28" i="5"/>
  <c r="E29" i="5"/>
  <c r="E30" i="5"/>
  <c r="E31" i="5"/>
  <c r="E32" i="5"/>
  <c r="E33" i="5"/>
  <c r="E34" i="5"/>
  <c r="E35" i="5"/>
  <c r="E36" i="5"/>
  <c r="E26" i="5"/>
  <c r="B33" i="6"/>
  <c r="B7" i="2"/>
  <c r="B14" i="6" l="1"/>
  <c r="I40" i="5"/>
  <c r="H35" i="5"/>
  <c r="I35" i="5" s="1"/>
  <c r="I20" i="5"/>
  <c r="H34" i="5"/>
  <c r="I34" i="5" s="1"/>
  <c r="H31" i="5"/>
  <c r="I31" i="5" s="1"/>
  <c r="H43" i="5"/>
  <c r="I43" i="5" s="1"/>
  <c r="H39" i="5"/>
  <c r="I39" i="5" s="1"/>
  <c r="H32" i="5"/>
  <c r="I32" i="5" s="1"/>
  <c r="I46" i="5"/>
  <c r="I16" i="5"/>
  <c r="I3" i="5"/>
  <c r="H28" i="5"/>
  <c r="I28" i="5" s="1"/>
  <c r="I12" i="5"/>
  <c r="I23" i="5"/>
  <c r="I19" i="5"/>
  <c r="I15" i="5"/>
  <c r="I11" i="5"/>
  <c r="H33" i="5"/>
  <c r="I33" i="5" s="1"/>
  <c r="H30" i="5"/>
  <c r="I30" i="5" s="1"/>
  <c r="H26" i="5"/>
  <c r="I26" i="5" s="1"/>
  <c r="I7" i="5"/>
  <c r="E62" i="5"/>
  <c r="H36" i="5"/>
  <c r="I36" i="5" s="1"/>
  <c r="H29" i="5"/>
  <c r="I29" i="5" s="1"/>
  <c r="I62" i="5" l="1"/>
  <c r="H62" i="5"/>
  <c r="C11" i="10"/>
  <c r="D16" i="1"/>
  <c r="D15" i="1"/>
  <c r="J143" i="12" l="1"/>
  <c r="E28" i="1"/>
  <c r="D14" i="1" l="1"/>
  <c r="D18" i="1" l="1"/>
  <c r="D17" i="1" l="1"/>
  <c r="D9" i="1"/>
  <c r="D8" i="1"/>
  <c r="D13" i="1" l="1"/>
  <c r="G4" i="6" l="1"/>
  <c r="K9" i="6"/>
  <c r="C85" i="13"/>
  <c r="C86" i="13"/>
  <c r="C87" i="13"/>
  <c r="C88" i="13"/>
  <c r="C89" i="13"/>
  <c r="C90" i="13"/>
  <c r="C91" i="13"/>
  <c r="C92" i="13"/>
  <c r="C93" i="13"/>
  <c r="C84" i="13"/>
  <c r="B84" i="13"/>
  <c r="B83" i="13"/>
  <c r="B93" i="13"/>
  <c r="B92" i="13"/>
  <c r="B91" i="13"/>
  <c r="B90" i="13"/>
  <c r="B89" i="13"/>
  <c r="B88" i="13"/>
  <c r="B87" i="13"/>
  <c r="B86" i="13"/>
  <c r="B85" i="13"/>
  <c r="E58" i="6"/>
  <c r="E57" i="6"/>
  <c r="E47" i="6"/>
  <c r="D46" i="6"/>
  <c r="E46" i="6" s="1"/>
  <c r="E54" i="6"/>
  <c r="E53" i="6"/>
  <c r="E51" i="6"/>
  <c r="E50" i="6"/>
  <c r="E49" i="6"/>
  <c r="E48" i="6"/>
  <c r="E45" i="6"/>
  <c r="E44" i="6"/>
  <c r="D93" i="6"/>
  <c r="E93" i="6" s="1"/>
  <c r="D95" i="6"/>
  <c r="E95" i="6" s="1"/>
  <c r="E91" i="6"/>
  <c r="E82" i="6"/>
  <c r="E76" i="6"/>
  <c r="E74" i="6"/>
  <c r="E73" i="6"/>
  <c r="E69" i="6"/>
  <c r="D21" i="6"/>
  <c r="E21" i="6" s="1"/>
  <c r="D68" i="6"/>
  <c r="E68" i="6" s="1"/>
  <c r="E66" i="6"/>
  <c r="E65" i="6"/>
  <c r="E64" i="6"/>
  <c r="G64" i="6"/>
  <c r="E63" i="6"/>
  <c r="E61" i="6"/>
  <c r="E60" i="6"/>
  <c r="E59" i="6"/>
  <c r="E16" i="6"/>
  <c r="E17" i="6"/>
  <c r="E41" i="6"/>
  <c r="E39" i="6"/>
  <c r="E35" i="6"/>
  <c r="E34" i="6"/>
  <c r="E31" i="6"/>
  <c r="E30" i="6"/>
  <c r="E22" i="6"/>
  <c r="E23" i="6"/>
  <c r="E24" i="6"/>
  <c r="E25" i="6"/>
  <c r="E10" i="6"/>
  <c r="E9" i="6"/>
  <c r="E8" i="6"/>
  <c r="E5" i="6"/>
  <c r="E3" i="6" l="1"/>
  <c r="F90" i="6" l="1"/>
  <c r="E90" i="6"/>
  <c r="D90" i="6"/>
  <c r="F84" i="6"/>
  <c r="F82" i="6" s="1"/>
  <c r="G82" i="6" s="1"/>
  <c r="E84" i="6"/>
  <c r="D84" i="6"/>
  <c r="F78" i="6"/>
  <c r="E78" i="6"/>
  <c r="D78" i="6"/>
  <c r="D71" i="6"/>
  <c r="F71" i="6"/>
  <c r="E71" i="6"/>
  <c r="E43" i="6"/>
  <c r="F33" i="6"/>
  <c r="E33" i="6"/>
  <c r="D33" i="6"/>
  <c r="F29" i="6"/>
  <c r="E29" i="6"/>
  <c r="D29" i="6"/>
  <c r="G91" i="6"/>
  <c r="G90" i="6" s="1"/>
  <c r="G86" i="6"/>
  <c r="G85" i="6"/>
  <c r="G80" i="6"/>
  <c r="G79" i="6"/>
  <c r="G76" i="6"/>
  <c r="G75" i="6"/>
  <c r="G74" i="6"/>
  <c r="G73" i="6"/>
  <c r="G72" i="6"/>
  <c r="G67" i="6"/>
  <c r="G66" i="6"/>
  <c r="G63" i="6"/>
  <c r="G58" i="6"/>
  <c r="G57" i="6"/>
  <c r="G56" i="6"/>
  <c r="G55" i="6"/>
  <c r="G54" i="6"/>
  <c r="G53" i="6"/>
  <c r="G52" i="6"/>
  <c r="G51" i="6"/>
  <c r="G50" i="6"/>
  <c r="G49" i="6"/>
  <c r="G48" i="6"/>
  <c r="G46" i="6"/>
  <c r="G45" i="6"/>
  <c r="G44" i="6"/>
  <c r="G41" i="6"/>
  <c r="G39" i="6"/>
  <c r="G35" i="6"/>
  <c r="G34" i="6"/>
  <c r="G31" i="6"/>
  <c r="G30" i="6"/>
  <c r="G26" i="6"/>
  <c r="G25" i="6"/>
  <c r="G24" i="6"/>
  <c r="G23" i="6"/>
  <c r="G22" i="6"/>
  <c r="G21" i="6"/>
  <c r="G20" i="6"/>
  <c r="G19" i="6"/>
  <c r="G18" i="6"/>
  <c r="G17" i="6"/>
  <c r="G16" i="6"/>
  <c r="G11" i="6"/>
  <c r="G10" i="6"/>
  <c r="G3" i="6"/>
  <c r="J155" i="12"/>
  <c r="G93" i="6"/>
  <c r="B95" i="6"/>
  <c r="G95" i="6" s="1"/>
  <c r="F161" i="12"/>
  <c r="C372" i="12"/>
  <c r="B372" i="12"/>
  <c r="H371" i="12"/>
  <c r="E371" i="12"/>
  <c r="D371" i="12"/>
  <c r="F371" i="12" s="1"/>
  <c r="I371" i="12" s="1"/>
  <c r="F370" i="12"/>
  <c r="E370" i="12"/>
  <c r="D370" i="12"/>
  <c r="E369" i="12"/>
  <c r="D369" i="12"/>
  <c r="F369" i="12" s="1"/>
  <c r="E368" i="12"/>
  <c r="F368" i="12" s="1"/>
  <c r="D368" i="12"/>
  <c r="E367" i="12"/>
  <c r="D367" i="12"/>
  <c r="F367" i="12" s="1"/>
  <c r="F366" i="12"/>
  <c r="E366" i="12"/>
  <c r="D366" i="12"/>
  <c r="E365" i="12"/>
  <c r="D365" i="12"/>
  <c r="E364" i="12"/>
  <c r="F364" i="12" s="1"/>
  <c r="D364" i="12"/>
  <c r="E363" i="12"/>
  <c r="D363" i="12"/>
  <c r="F363" i="12" s="1"/>
  <c r="F362" i="12"/>
  <c r="E362" i="12"/>
  <c r="D362" i="12"/>
  <c r="E361" i="12"/>
  <c r="D361" i="12"/>
  <c r="E360" i="12"/>
  <c r="F360" i="12" s="1"/>
  <c r="D360" i="12"/>
  <c r="E359" i="12"/>
  <c r="D359" i="12"/>
  <c r="F359" i="12" s="1"/>
  <c r="E358" i="12"/>
  <c r="D358" i="12"/>
  <c r="F358" i="12" s="1"/>
  <c r="F357" i="12"/>
  <c r="E357" i="12"/>
  <c r="D357" i="12"/>
  <c r="E356" i="12"/>
  <c r="D356" i="12"/>
  <c r="F356" i="12" s="1"/>
  <c r="E355" i="12"/>
  <c r="D355" i="12"/>
  <c r="F355" i="12" s="1"/>
  <c r="E354" i="12"/>
  <c r="D354" i="12"/>
  <c r="F354" i="12" s="1"/>
  <c r="F353" i="12"/>
  <c r="E353" i="12"/>
  <c r="D353" i="12"/>
  <c r="E352" i="12"/>
  <c r="D352" i="12"/>
  <c r="F352" i="12" s="1"/>
  <c r="E351" i="12"/>
  <c r="D351" i="12"/>
  <c r="F351" i="12" s="1"/>
  <c r="E350" i="12"/>
  <c r="D350" i="12"/>
  <c r="F350" i="12" s="1"/>
  <c r="F349" i="12"/>
  <c r="E349" i="12"/>
  <c r="D349" i="12"/>
  <c r="E348" i="12"/>
  <c r="D348" i="12"/>
  <c r="F348" i="12" s="1"/>
  <c r="E347" i="12"/>
  <c r="F347" i="12" s="1"/>
  <c r="D347" i="12"/>
  <c r="E346" i="12"/>
  <c r="D346" i="12"/>
  <c r="F346" i="12" s="1"/>
  <c r="F345" i="12"/>
  <c r="E345" i="12"/>
  <c r="D345" i="12"/>
  <c r="E344" i="12"/>
  <c r="D344" i="12"/>
  <c r="F344" i="12" s="1"/>
  <c r="E343" i="12"/>
  <c r="F343" i="12" s="1"/>
  <c r="D343" i="12"/>
  <c r="E342" i="12"/>
  <c r="D342" i="12"/>
  <c r="F342" i="12" s="1"/>
  <c r="F341" i="12"/>
  <c r="E341" i="12"/>
  <c r="D341" i="12"/>
  <c r="E340" i="12"/>
  <c r="D340" i="12"/>
  <c r="F339" i="12"/>
  <c r="E339" i="12"/>
  <c r="D339" i="12"/>
  <c r="E338" i="12"/>
  <c r="D338" i="12"/>
  <c r="F338" i="12" s="1"/>
  <c r="F337" i="12"/>
  <c r="E337" i="12"/>
  <c r="D337" i="12"/>
  <c r="E336" i="12"/>
  <c r="D336" i="12"/>
  <c r="E335" i="12"/>
  <c r="D335" i="12"/>
  <c r="F335" i="12" s="1"/>
  <c r="E334" i="12"/>
  <c r="D334" i="12"/>
  <c r="F334" i="12" s="1"/>
  <c r="F333" i="12"/>
  <c r="E333" i="12"/>
  <c r="D333" i="12"/>
  <c r="F332" i="12"/>
  <c r="E332" i="12"/>
  <c r="D332" i="12"/>
  <c r="E331" i="12"/>
  <c r="D331" i="12"/>
  <c r="F331" i="12" s="1"/>
  <c r="E330" i="12"/>
  <c r="D330" i="12"/>
  <c r="F330" i="12" s="1"/>
  <c r="F329" i="12"/>
  <c r="E329" i="12"/>
  <c r="D329" i="12"/>
  <c r="F328" i="12"/>
  <c r="E328" i="12"/>
  <c r="D328" i="12"/>
  <c r="E327" i="12"/>
  <c r="D327" i="12"/>
  <c r="F327" i="12" s="1"/>
  <c r="E326" i="12"/>
  <c r="D326" i="12"/>
  <c r="F326" i="12" s="1"/>
  <c r="F325" i="12"/>
  <c r="E325" i="12"/>
  <c r="D325" i="12"/>
  <c r="F324" i="12"/>
  <c r="E324" i="12"/>
  <c r="D324" i="12"/>
  <c r="E323" i="12"/>
  <c r="D323" i="12"/>
  <c r="F323" i="12" s="1"/>
  <c r="F322" i="12"/>
  <c r="E322" i="12"/>
  <c r="D322" i="12"/>
  <c r="E321" i="12"/>
  <c r="D321" i="12"/>
  <c r="F321" i="12" s="1"/>
  <c r="E320" i="12"/>
  <c r="F320" i="12" s="1"/>
  <c r="D320" i="12"/>
  <c r="E319" i="12"/>
  <c r="D319" i="12"/>
  <c r="F318" i="12"/>
  <c r="E318" i="12"/>
  <c r="D318" i="12"/>
  <c r="E317" i="12"/>
  <c r="D317" i="12"/>
  <c r="F317" i="12" s="1"/>
  <c r="E316" i="12"/>
  <c r="F316" i="12" s="1"/>
  <c r="D316" i="12"/>
  <c r="E315" i="12"/>
  <c r="D315" i="12"/>
  <c r="F315" i="12" s="1"/>
  <c r="F314" i="12"/>
  <c r="E314" i="12"/>
  <c r="D314" i="12"/>
  <c r="E313" i="12"/>
  <c r="D313" i="12"/>
  <c r="F313" i="12" s="1"/>
  <c r="E312" i="12"/>
  <c r="F312" i="12" s="1"/>
  <c r="D312" i="12"/>
  <c r="F311" i="12"/>
  <c r="E311" i="12"/>
  <c r="D311" i="12"/>
  <c r="E310" i="12"/>
  <c r="D310" i="12"/>
  <c r="F310" i="12" s="1"/>
  <c r="E309" i="12"/>
  <c r="D309" i="12"/>
  <c r="F309" i="12" s="1"/>
  <c r="F308" i="12"/>
  <c r="E308" i="12"/>
  <c r="D308" i="12"/>
  <c r="F307" i="12"/>
  <c r="E307" i="12"/>
  <c r="D307" i="12"/>
  <c r="E306" i="12"/>
  <c r="D306" i="12"/>
  <c r="F306" i="12" s="1"/>
  <c r="E305" i="12"/>
  <c r="D305" i="12"/>
  <c r="F305" i="12" s="1"/>
  <c r="F304" i="12"/>
  <c r="E304" i="12"/>
  <c r="D304" i="12"/>
  <c r="F303" i="12"/>
  <c r="E303" i="12"/>
  <c r="D303" i="12"/>
  <c r="E302" i="12"/>
  <c r="D302" i="12"/>
  <c r="F302" i="12" s="1"/>
  <c r="E301" i="12"/>
  <c r="D301" i="12"/>
  <c r="F301" i="12" s="1"/>
  <c r="F300" i="12"/>
  <c r="E300" i="12"/>
  <c r="D300" i="12"/>
  <c r="E299" i="12"/>
  <c r="D299" i="12"/>
  <c r="F299" i="12" s="1"/>
  <c r="E298" i="12"/>
  <c r="D298" i="12"/>
  <c r="F297" i="12"/>
  <c r="E297" i="12"/>
  <c r="D297" i="12"/>
  <c r="E296" i="12"/>
  <c r="D296" i="12"/>
  <c r="F296" i="12" s="1"/>
  <c r="E295" i="12"/>
  <c r="D295" i="12"/>
  <c r="F295" i="12" s="1"/>
  <c r="E294" i="12"/>
  <c r="F294" i="12" s="1"/>
  <c r="D294" i="12"/>
  <c r="F293" i="12"/>
  <c r="E293" i="12"/>
  <c r="D293" i="12"/>
  <c r="E292" i="12"/>
  <c r="D292" i="12"/>
  <c r="F292" i="12" s="1"/>
  <c r="E291" i="12"/>
  <c r="D291" i="12"/>
  <c r="F291" i="12" s="1"/>
  <c r="E290" i="12"/>
  <c r="F290" i="12" s="1"/>
  <c r="D290" i="12"/>
  <c r="F289" i="12"/>
  <c r="E289" i="12"/>
  <c r="D289" i="12"/>
  <c r="E288" i="12"/>
  <c r="D288" i="12"/>
  <c r="F288" i="12" s="1"/>
  <c r="F287" i="12"/>
  <c r="E287" i="12"/>
  <c r="D287" i="12"/>
  <c r="F286" i="12"/>
  <c r="E286" i="12"/>
  <c r="D286" i="12"/>
  <c r="E285" i="12"/>
  <c r="D285" i="12"/>
  <c r="F285" i="12" s="1"/>
  <c r="E284" i="12"/>
  <c r="D284" i="12"/>
  <c r="F284" i="12" s="1"/>
  <c r="F283" i="12"/>
  <c r="E283" i="12"/>
  <c r="D283" i="12"/>
  <c r="F282" i="12"/>
  <c r="E282" i="12"/>
  <c r="D282" i="12"/>
  <c r="E281" i="12"/>
  <c r="D281" i="12"/>
  <c r="F281" i="12" s="1"/>
  <c r="E280" i="12"/>
  <c r="D280" i="12"/>
  <c r="F280" i="12" s="1"/>
  <c r="F279" i="12"/>
  <c r="E279" i="12"/>
  <c r="D279" i="12"/>
  <c r="F278" i="12"/>
  <c r="E278" i="12"/>
  <c r="D278" i="12"/>
  <c r="E277" i="12"/>
  <c r="D277" i="12"/>
  <c r="F277" i="12" s="1"/>
  <c r="E276" i="12"/>
  <c r="D276" i="12"/>
  <c r="F276" i="12" s="1"/>
  <c r="E275" i="12"/>
  <c r="D275" i="12"/>
  <c r="F275" i="12" s="1"/>
  <c r="E274" i="12"/>
  <c r="D274" i="12"/>
  <c r="F274" i="12" s="1"/>
  <c r="E273" i="12"/>
  <c r="F273" i="12" s="1"/>
  <c r="D273" i="12"/>
  <c r="E272" i="12"/>
  <c r="F272" i="12" s="1"/>
  <c r="D272" i="12"/>
  <c r="E271" i="12"/>
  <c r="D271" i="12"/>
  <c r="F271" i="12" s="1"/>
  <c r="E270" i="12"/>
  <c r="D270" i="12"/>
  <c r="F270" i="12" s="1"/>
  <c r="E269" i="12"/>
  <c r="F269" i="12" s="1"/>
  <c r="D269" i="12"/>
  <c r="E268" i="12"/>
  <c r="F268" i="12" s="1"/>
  <c r="D268" i="12"/>
  <c r="E267" i="12"/>
  <c r="D267" i="12"/>
  <c r="F267" i="12" s="1"/>
  <c r="E266" i="12"/>
  <c r="D266" i="12"/>
  <c r="F266" i="12" s="1"/>
  <c r="E265" i="12"/>
  <c r="F265" i="12" s="1"/>
  <c r="D265" i="12"/>
  <c r="E264" i="12"/>
  <c r="F264" i="12" s="1"/>
  <c r="D264" i="12"/>
  <c r="E263" i="12"/>
  <c r="D263" i="12"/>
  <c r="F263" i="12" s="1"/>
  <c r="F262" i="12"/>
  <c r="E262" i="12"/>
  <c r="D262" i="12"/>
  <c r="F261" i="12"/>
  <c r="E261" i="12"/>
  <c r="D261" i="12"/>
  <c r="E260" i="12"/>
  <c r="D260" i="12"/>
  <c r="F260" i="12" s="1"/>
  <c r="E259" i="12"/>
  <c r="D259" i="12"/>
  <c r="F259" i="12" s="1"/>
  <c r="F258" i="12"/>
  <c r="E258" i="12"/>
  <c r="D258" i="12"/>
  <c r="F257" i="12"/>
  <c r="E257" i="12"/>
  <c r="D257" i="12"/>
  <c r="E256" i="12"/>
  <c r="D256" i="12"/>
  <c r="F256" i="12" s="1"/>
  <c r="E255" i="12"/>
  <c r="D255" i="12"/>
  <c r="F255" i="12" s="1"/>
  <c r="F254" i="12"/>
  <c r="E254" i="12"/>
  <c r="D254" i="12"/>
  <c r="F253" i="12"/>
  <c r="E253" i="12"/>
  <c r="D253" i="12"/>
  <c r="E252" i="12"/>
  <c r="D252" i="12"/>
  <c r="F252" i="12" s="1"/>
  <c r="E251" i="12"/>
  <c r="F251" i="12" s="1"/>
  <c r="D251" i="12"/>
  <c r="E250" i="12"/>
  <c r="D250" i="12"/>
  <c r="F250" i="12" s="1"/>
  <c r="E249" i="12"/>
  <c r="D249" i="12"/>
  <c r="F249" i="12" s="1"/>
  <c r="E248" i="12"/>
  <c r="F248" i="12" s="1"/>
  <c r="D248" i="12"/>
  <c r="F247" i="12"/>
  <c r="E247" i="12"/>
  <c r="D247" i="12"/>
  <c r="E246" i="12"/>
  <c r="D246" i="12"/>
  <c r="F246" i="12" s="1"/>
  <c r="E245" i="12"/>
  <c r="D245" i="12"/>
  <c r="F245" i="12" s="1"/>
  <c r="E244" i="12"/>
  <c r="F244" i="12" s="1"/>
  <c r="D244" i="12"/>
  <c r="F243" i="12"/>
  <c r="E243" i="12"/>
  <c r="D243" i="12"/>
  <c r="E242" i="12"/>
  <c r="D242" i="12"/>
  <c r="F242" i="12" s="1"/>
  <c r="E241" i="12"/>
  <c r="D241" i="12"/>
  <c r="F241" i="12" s="1"/>
  <c r="E240" i="12"/>
  <c r="D240" i="12"/>
  <c r="F240" i="12" s="1"/>
  <c r="E239" i="12"/>
  <c r="D239" i="12"/>
  <c r="F239" i="12" s="1"/>
  <c r="E238" i="12"/>
  <c r="D238" i="12"/>
  <c r="F238" i="12" s="1"/>
  <c r="F237" i="12"/>
  <c r="E237" i="12"/>
  <c r="D237" i="12"/>
  <c r="F236" i="12"/>
  <c r="E236" i="12"/>
  <c r="D236" i="12"/>
  <c r="E235" i="12"/>
  <c r="D235" i="12"/>
  <c r="F235" i="12" s="1"/>
  <c r="E234" i="12"/>
  <c r="D234" i="12"/>
  <c r="F234" i="12" s="1"/>
  <c r="F233" i="12"/>
  <c r="E233" i="12"/>
  <c r="D233" i="12"/>
  <c r="F232" i="12"/>
  <c r="E232" i="12"/>
  <c r="D232" i="12"/>
  <c r="E231" i="12"/>
  <c r="D231" i="12"/>
  <c r="F231" i="12" s="1"/>
  <c r="E230" i="12"/>
  <c r="D230" i="12"/>
  <c r="F230" i="12" s="1"/>
  <c r="F229" i="12"/>
  <c r="E229" i="12"/>
  <c r="D229" i="12"/>
  <c r="E228" i="12"/>
  <c r="D228" i="12"/>
  <c r="F228" i="12" s="1"/>
  <c r="E227" i="12"/>
  <c r="D227" i="12"/>
  <c r="E226" i="12"/>
  <c r="F226" i="12" s="1"/>
  <c r="D226" i="12"/>
  <c r="E225" i="12"/>
  <c r="D225" i="12"/>
  <c r="F225" i="12" s="1"/>
  <c r="E224" i="12"/>
  <c r="D224" i="12"/>
  <c r="E223" i="12"/>
  <c r="F223" i="12" s="1"/>
  <c r="D223" i="12"/>
  <c r="E222" i="12"/>
  <c r="F222" i="12" s="1"/>
  <c r="D222" i="12"/>
  <c r="E221" i="12"/>
  <c r="D221" i="12"/>
  <c r="F221" i="12" s="1"/>
  <c r="E220" i="12"/>
  <c r="D220" i="12"/>
  <c r="E219" i="12"/>
  <c r="F219" i="12" s="1"/>
  <c r="D219" i="12"/>
  <c r="E218" i="12"/>
  <c r="F218" i="12" s="1"/>
  <c r="D218" i="12"/>
  <c r="E217" i="12"/>
  <c r="D217" i="12"/>
  <c r="F217" i="12" s="1"/>
  <c r="E216" i="12"/>
  <c r="D216" i="12"/>
  <c r="F215" i="12"/>
  <c r="E215" i="12"/>
  <c r="D215" i="12"/>
  <c r="E214" i="12"/>
  <c r="D214" i="12"/>
  <c r="F214" i="12" s="1"/>
  <c r="E213" i="12"/>
  <c r="D213" i="12"/>
  <c r="F212" i="12"/>
  <c r="E212" i="12"/>
  <c r="D212" i="12"/>
  <c r="F211" i="12"/>
  <c r="E211" i="12"/>
  <c r="D211" i="12"/>
  <c r="E210" i="12"/>
  <c r="D210" i="12"/>
  <c r="F210" i="12" s="1"/>
  <c r="E209" i="12"/>
  <c r="D209" i="12"/>
  <c r="E208" i="12"/>
  <c r="D208" i="12"/>
  <c r="F208" i="12" s="1"/>
  <c r="F207" i="12"/>
  <c r="E207" i="12"/>
  <c r="D207" i="12"/>
  <c r="E206" i="12"/>
  <c r="D206" i="12"/>
  <c r="F206" i="12" s="1"/>
  <c r="E205" i="12"/>
  <c r="D205" i="12"/>
  <c r="F205" i="12" s="1"/>
  <c r="E204" i="12"/>
  <c r="D204" i="12"/>
  <c r="F204" i="12" s="1"/>
  <c r="F203" i="12"/>
  <c r="E203" i="12"/>
  <c r="D203" i="12"/>
  <c r="E202" i="12"/>
  <c r="D202" i="12"/>
  <c r="F202" i="12" s="1"/>
  <c r="E201" i="12"/>
  <c r="D201" i="12"/>
  <c r="F201" i="12" s="1"/>
  <c r="F200" i="12"/>
  <c r="E200" i="12"/>
  <c r="D200" i="12"/>
  <c r="F199" i="12"/>
  <c r="E199" i="12"/>
  <c r="D199" i="12"/>
  <c r="E198" i="12"/>
  <c r="D198" i="12"/>
  <c r="F198" i="12" s="1"/>
  <c r="E197" i="12"/>
  <c r="D197" i="12"/>
  <c r="F197" i="12" s="1"/>
  <c r="F196" i="12"/>
  <c r="E196" i="12"/>
  <c r="D196" i="12"/>
  <c r="F195" i="12"/>
  <c r="E195" i="12"/>
  <c r="D195" i="12"/>
  <c r="E194" i="12"/>
  <c r="D194" i="12"/>
  <c r="F194" i="12" s="1"/>
  <c r="E193" i="12"/>
  <c r="D193" i="12"/>
  <c r="F193" i="12" s="1"/>
  <c r="F192" i="12"/>
  <c r="E192" i="12"/>
  <c r="D192" i="12"/>
  <c r="E191" i="12"/>
  <c r="D191" i="12"/>
  <c r="F191" i="12" s="1"/>
  <c r="E190" i="12"/>
  <c r="F190" i="12" s="1"/>
  <c r="D190" i="12"/>
  <c r="E189" i="12"/>
  <c r="D189" i="12"/>
  <c r="F189" i="12" s="1"/>
  <c r="E188" i="12"/>
  <c r="D188" i="12"/>
  <c r="F188" i="12" s="1"/>
  <c r="E187" i="12"/>
  <c r="D187" i="12"/>
  <c r="F187" i="12" s="1"/>
  <c r="E186" i="12"/>
  <c r="F186" i="12" s="1"/>
  <c r="D186" i="12"/>
  <c r="E185" i="12"/>
  <c r="D185" i="12"/>
  <c r="F185" i="12" s="1"/>
  <c r="E184" i="12"/>
  <c r="D184" i="12"/>
  <c r="F184" i="12" s="1"/>
  <c r="E183" i="12"/>
  <c r="D183" i="12"/>
  <c r="F183" i="12" s="1"/>
  <c r="E182" i="12"/>
  <c r="F182" i="12" s="1"/>
  <c r="D182" i="12"/>
  <c r="E181" i="12"/>
  <c r="D181" i="12"/>
  <c r="F181" i="12" s="1"/>
  <c r="E180" i="12"/>
  <c r="D180" i="12"/>
  <c r="F180" i="12" s="1"/>
  <c r="F179" i="12"/>
  <c r="E179" i="12"/>
  <c r="D179" i="12"/>
  <c r="F178" i="12"/>
  <c r="E178" i="12"/>
  <c r="D178" i="12"/>
  <c r="E177" i="12"/>
  <c r="D177" i="12"/>
  <c r="F177" i="12" s="1"/>
  <c r="E176" i="12"/>
  <c r="D176" i="12"/>
  <c r="F176" i="12" s="1"/>
  <c r="F175" i="12"/>
  <c r="E175" i="12"/>
  <c r="D175" i="12"/>
  <c r="F174" i="12"/>
  <c r="E174" i="12"/>
  <c r="D174" i="12"/>
  <c r="E173" i="12"/>
  <c r="D173" i="12"/>
  <c r="F173" i="12" s="1"/>
  <c r="E172" i="12"/>
  <c r="D172" i="12"/>
  <c r="F172" i="12" s="1"/>
  <c r="F171" i="12"/>
  <c r="E171" i="12"/>
  <c r="D171" i="12"/>
  <c r="F170" i="12"/>
  <c r="E170" i="12"/>
  <c r="D170" i="12"/>
  <c r="E169" i="12"/>
  <c r="D169" i="12"/>
  <c r="F169" i="12" s="1"/>
  <c r="E168" i="12"/>
  <c r="D168" i="12"/>
  <c r="F168" i="12" s="1"/>
  <c r="E167" i="12"/>
  <c r="D167" i="12"/>
  <c r="F167" i="12" s="1"/>
  <c r="E166" i="12"/>
  <c r="D166" i="12"/>
  <c r="F166" i="12" s="1"/>
  <c r="E165" i="12"/>
  <c r="F165" i="12" s="1"/>
  <c r="D165" i="12"/>
  <c r="E164" i="12"/>
  <c r="D164" i="12"/>
  <c r="F164" i="12" s="1"/>
  <c r="E163" i="12"/>
  <c r="D163" i="12"/>
  <c r="F163" i="12" s="1"/>
  <c r="E162" i="12"/>
  <c r="D162" i="12"/>
  <c r="F162" i="12" s="1"/>
  <c r="E161" i="12"/>
  <c r="D161" i="12"/>
  <c r="E160" i="12"/>
  <c r="D160" i="12"/>
  <c r="F160" i="12" s="1"/>
  <c r="E159" i="12"/>
  <c r="D159" i="12"/>
  <c r="F159" i="12" s="1"/>
  <c r="E158" i="12"/>
  <c r="D158" i="12"/>
  <c r="F158" i="12" s="1"/>
  <c r="E157" i="12"/>
  <c r="F157" i="12" s="1"/>
  <c r="D157" i="12"/>
  <c r="E156" i="12"/>
  <c r="D156" i="12"/>
  <c r="F156" i="12" s="1"/>
  <c r="J167" i="12" s="1"/>
  <c r="E155" i="12"/>
  <c r="D155" i="12"/>
  <c r="F155" i="12" s="1"/>
  <c r="F154" i="12"/>
  <c r="E154" i="12"/>
  <c r="D154" i="12"/>
  <c r="F153" i="12"/>
  <c r="E153" i="12"/>
  <c r="D153" i="12"/>
  <c r="E152" i="12"/>
  <c r="D152" i="12"/>
  <c r="F152" i="12" s="1"/>
  <c r="E151" i="12"/>
  <c r="D151" i="12"/>
  <c r="F151" i="12" s="1"/>
  <c r="F150" i="12"/>
  <c r="E150" i="12"/>
  <c r="D150" i="12"/>
  <c r="F149" i="12"/>
  <c r="E149" i="12"/>
  <c r="D149" i="12"/>
  <c r="E148" i="12"/>
  <c r="D148" i="12"/>
  <c r="F148" i="12" s="1"/>
  <c r="E147" i="12"/>
  <c r="D147" i="12"/>
  <c r="F147" i="12" s="1"/>
  <c r="F146" i="12"/>
  <c r="E146" i="12"/>
  <c r="D146" i="12"/>
  <c r="F145" i="12"/>
  <c r="E145" i="12"/>
  <c r="D145" i="12"/>
  <c r="E144" i="12"/>
  <c r="D144" i="12"/>
  <c r="F144" i="12" s="1"/>
  <c r="E143" i="12"/>
  <c r="D143" i="12"/>
  <c r="F143" i="12" s="1"/>
  <c r="E142" i="12"/>
  <c r="D142" i="12"/>
  <c r="F142" i="12" s="1"/>
  <c r="E141" i="12"/>
  <c r="D141" i="12"/>
  <c r="F141" i="12" s="1"/>
  <c r="E140" i="12"/>
  <c r="F140" i="12" s="1"/>
  <c r="D140" i="12"/>
  <c r="E139" i="12"/>
  <c r="D139" i="12"/>
  <c r="F139" i="12" s="1"/>
  <c r="E138" i="12"/>
  <c r="D138" i="12"/>
  <c r="F138" i="12" s="1"/>
  <c r="E137" i="12"/>
  <c r="D137" i="12"/>
  <c r="F137" i="12" s="1"/>
  <c r="E136" i="12"/>
  <c r="F136" i="12" s="1"/>
  <c r="D136" i="12"/>
  <c r="E135" i="12"/>
  <c r="D135" i="12"/>
  <c r="F135" i="12" s="1"/>
  <c r="E134" i="12"/>
  <c r="D134" i="12"/>
  <c r="F134" i="12" s="1"/>
  <c r="E133" i="12"/>
  <c r="D133" i="12"/>
  <c r="F133" i="12" s="1"/>
  <c r="E132" i="12"/>
  <c r="F132" i="12" s="1"/>
  <c r="D132" i="12"/>
  <c r="E131" i="12"/>
  <c r="D131" i="12"/>
  <c r="F131" i="12" s="1"/>
  <c r="E130" i="12"/>
  <c r="D130" i="12"/>
  <c r="F130" i="12" s="1"/>
  <c r="F129" i="12"/>
  <c r="E129" i="12"/>
  <c r="D129" i="12"/>
  <c r="F128" i="12"/>
  <c r="E128" i="12"/>
  <c r="D128" i="12"/>
  <c r="E127" i="12"/>
  <c r="D127" i="12"/>
  <c r="F127" i="12" s="1"/>
  <c r="E126" i="12"/>
  <c r="D126" i="12"/>
  <c r="F126" i="12" s="1"/>
  <c r="F125" i="12"/>
  <c r="E125" i="12"/>
  <c r="D125" i="12"/>
  <c r="F124" i="12"/>
  <c r="E124" i="12"/>
  <c r="D124" i="12"/>
  <c r="E123" i="12"/>
  <c r="D123" i="12"/>
  <c r="F123" i="12" s="1"/>
  <c r="E122" i="12"/>
  <c r="D122" i="12"/>
  <c r="F122" i="12" s="1"/>
  <c r="F121" i="12"/>
  <c r="E121" i="12"/>
  <c r="D121" i="12"/>
  <c r="E120" i="12"/>
  <c r="D120" i="12"/>
  <c r="F120" i="12" s="1"/>
  <c r="E119" i="12"/>
  <c r="F119" i="12" s="1"/>
  <c r="D119" i="12"/>
  <c r="E118" i="12"/>
  <c r="D118" i="12"/>
  <c r="F118" i="12" s="1"/>
  <c r="E117" i="12"/>
  <c r="F117" i="12" s="1"/>
  <c r="D117" i="12"/>
  <c r="E116" i="12"/>
  <c r="D116" i="12"/>
  <c r="E115" i="12"/>
  <c r="F115" i="12" s="1"/>
  <c r="D115" i="12"/>
  <c r="E114" i="12"/>
  <c r="D114" i="12"/>
  <c r="F114" i="12" s="1"/>
  <c r="E113" i="12"/>
  <c r="D113" i="12"/>
  <c r="F113" i="12" s="1"/>
  <c r="E112" i="12"/>
  <c r="D112" i="12"/>
  <c r="E111" i="12"/>
  <c r="F111" i="12" s="1"/>
  <c r="D111" i="12"/>
  <c r="E110" i="12"/>
  <c r="D110" i="12"/>
  <c r="F110" i="12" s="1"/>
  <c r="E109" i="12"/>
  <c r="D109" i="12"/>
  <c r="F109" i="12" s="1"/>
  <c r="E108" i="12"/>
  <c r="D108" i="12"/>
  <c r="E107" i="12"/>
  <c r="D107" i="12"/>
  <c r="F107" i="12" s="1"/>
  <c r="E106" i="12"/>
  <c r="D106" i="12"/>
  <c r="F106" i="12" s="1"/>
  <c r="E105" i="12"/>
  <c r="F105" i="12" s="1"/>
  <c r="D105" i="12"/>
  <c r="F104" i="12"/>
  <c r="E104" i="12"/>
  <c r="D104" i="12"/>
  <c r="F103" i="12"/>
  <c r="E103" i="12"/>
  <c r="D103" i="12"/>
  <c r="E102" i="12"/>
  <c r="D102" i="12"/>
  <c r="F102" i="12" s="1"/>
  <c r="F101" i="12"/>
  <c r="E101" i="12"/>
  <c r="D101" i="12"/>
  <c r="E100" i="12"/>
  <c r="D100" i="12"/>
  <c r="F100" i="12" s="1"/>
  <c r="F99" i="12"/>
  <c r="E99" i="12"/>
  <c r="D99" i="12"/>
  <c r="E98" i="12"/>
  <c r="D98" i="12"/>
  <c r="F98" i="12" s="1"/>
  <c r="F97" i="12"/>
  <c r="E97" i="12"/>
  <c r="D97" i="12"/>
  <c r="E96" i="12"/>
  <c r="D96" i="12"/>
  <c r="F96" i="12" s="1"/>
  <c r="E95" i="12"/>
  <c r="D95" i="12"/>
  <c r="F95" i="12" s="1"/>
  <c r="E94" i="12"/>
  <c r="D94" i="12"/>
  <c r="F94" i="12" s="1"/>
  <c r="F93" i="12"/>
  <c r="E93" i="12"/>
  <c r="D93" i="12"/>
  <c r="E92" i="12"/>
  <c r="D92" i="12"/>
  <c r="F92" i="12" s="1"/>
  <c r="E91" i="12"/>
  <c r="F91" i="12" s="1"/>
  <c r="D91" i="12"/>
  <c r="E90" i="12"/>
  <c r="D90" i="12"/>
  <c r="F90" i="12" s="1"/>
  <c r="F89" i="12"/>
  <c r="E89" i="12"/>
  <c r="D89" i="12"/>
  <c r="E88" i="12"/>
  <c r="D88" i="12"/>
  <c r="F88" i="12" s="1"/>
  <c r="E87" i="12"/>
  <c r="F87" i="12" s="1"/>
  <c r="D87" i="12"/>
  <c r="E86" i="12"/>
  <c r="D86" i="12"/>
  <c r="F86" i="12" s="1"/>
  <c r="F85" i="12"/>
  <c r="E85" i="12"/>
  <c r="D85" i="12"/>
  <c r="E84" i="12"/>
  <c r="D84" i="12"/>
  <c r="F84" i="12" s="1"/>
  <c r="E83" i="12"/>
  <c r="D83" i="12"/>
  <c r="F83" i="12" s="1"/>
  <c r="F82" i="12"/>
  <c r="E82" i="12"/>
  <c r="D82" i="12"/>
  <c r="E81" i="12"/>
  <c r="D81" i="12"/>
  <c r="F81" i="12" s="1"/>
  <c r="F80" i="12"/>
  <c r="E80" i="12"/>
  <c r="D80" i="12"/>
  <c r="E79" i="12"/>
  <c r="D79" i="12"/>
  <c r="F79" i="12" s="1"/>
  <c r="F78" i="12"/>
  <c r="E78" i="12"/>
  <c r="D78" i="12"/>
  <c r="E77" i="12"/>
  <c r="D77" i="12"/>
  <c r="F77" i="12" s="1"/>
  <c r="F76" i="12"/>
  <c r="E76" i="12"/>
  <c r="D76" i="12"/>
  <c r="E75" i="12"/>
  <c r="D75" i="12"/>
  <c r="F75" i="12" s="1"/>
  <c r="F74" i="12"/>
  <c r="E74" i="12"/>
  <c r="D74" i="12"/>
  <c r="E73" i="12"/>
  <c r="D73" i="12"/>
  <c r="F73" i="12" s="1"/>
  <c r="F72" i="12"/>
  <c r="E72" i="12"/>
  <c r="D72" i="12"/>
  <c r="E71" i="12"/>
  <c r="D71" i="12"/>
  <c r="F71" i="12" s="1"/>
  <c r="E70" i="12"/>
  <c r="D70" i="12"/>
  <c r="F70" i="12" s="1"/>
  <c r="E69" i="12"/>
  <c r="D69" i="12"/>
  <c r="F69" i="12" s="1"/>
  <c r="F68" i="12"/>
  <c r="E68" i="12"/>
  <c r="D68" i="12"/>
  <c r="E67" i="12"/>
  <c r="D67" i="12"/>
  <c r="F67" i="12" s="1"/>
  <c r="E66" i="12"/>
  <c r="D66" i="12"/>
  <c r="F66" i="12" s="1"/>
  <c r="E65" i="12"/>
  <c r="D65" i="12"/>
  <c r="F65" i="12" s="1"/>
  <c r="F64" i="12"/>
  <c r="E64" i="12"/>
  <c r="D64" i="12"/>
  <c r="E63" i="12"/>
  <c r="D63" i="12"/>
  <c r="F63" i="12" s="1"/>
  <c r="E62" i="12"/>
  <c r="D62" i="12"/>
  <c r="F62" i="12" s="1"/>
  <c r="E61" i="12"/>
  <c r="D61" i="12"/>
  <c r="F61" i="12" s="1"/>
  <c r="F60" i="12"/>
  <c r="E60" i="12"/>
  <c r="D60" i="12"/>
  <c r="F59" i="12"/>
  <c r="E59" i="12"/>
  <c r="D59" i="12"/>
  <c r="E58" i="12"/>
  <c r="D58" i="12"/>
  <c r="F58" i="12" s="1"/>
  <c r="F57" i="12"/>
  <c r="E57" i="12"/>
  <c r="D57" i="12"/>
  <c r="E56" i="12"/>
  <c r="D56" i="12"/>
  <c r="F56" i="12" s="1"/>
  <c r="F55" i="12"/>
  <c r="E55" i="12"/>
  <c r="D55" i="12"/>
  <c r="E54" i="12"/>
  <c r="D54" i="12"/>
  <c r="F54" i="12" s="1"/>
  <c r="F53" i="12"/>
  <c r="E53" i="12"/>
  <c r="D53" i="12"/>
  <c r="E52" i="12"/>
  <c r="D52" i="12"/>
  <c r="F52" i="12" s="1"/>
  <c r="F51" i="12"/>
  <c r="E51" i="12"/>
  <c r="D51" i="12"/>
  <c r="E50" i="12"/>
  <c r="D50" i="12"/>
  <c r="F50" i="12" s="1"/>
  <c r="F49" i="12"/>
  <c r="E49" i="12"/>
  <c r="D49" i="12"/>
  <c r="E48" i="12"/>
  <c r="D48" i="12"/>
  <c r="F48" i="12" s="1"/>
  <c r="F47" i="12"/>
  <c r="E47" i="12"/>
  <c r="D47" i="12"/>
  <c r="E46" i="12"/>
  <c r="D46" i="12"/>
  <c r="F46" i="12" s="1"/>
  <c r="E45" i="12"/>
  <c r="D45" i="12"/>
  <c r="F45" i="12" s="1"/>
  <c r="E44" i="12"/>
  <c r="D44" i="12"/>
  <c r="F44" i="12" s="1"/>
  <c r="F43" i="12"/>
  <c r="E43" i="12"/>
  <c r="D43" i="12"/>
  <c r="E42" i="12"/>
  <c r="D42" i="12"/>
  <c r="E41" i="12"/>
  <c r="D41" i="12"/>
  <c r="F41" i="12" s="1"/>
  <c r="E40" i="12"/>
  <c r="D40" i="12"/>
  <c r="F40" i="12" s="1"/>
  <c r="F39" i="12"/>
  <c r="E39" i="12"/>
  <c r="D39" i="12"/>
  <c r="E38" i="12"/>
  <c r="D38" i="12"/>
  <c r="F38" i="12" s="1"/>
  <c r="E37" i="12"/>
  <c r="D37" i="12"/>
  <c r="F37" i="12" s="1"/>
  <c r="E36" i="12"/>
  <c r="D36" i="12"/>
  <c r="F36" i="12" s="1"/>
  <c r="E35" i="12"/>
  <c r="D35" i="12"/>
  <c r="F35" i="12" s="1"/>
  <c r="F34" i="12"/>
  <c r="E34" i="12"/>
  <c r="D34" i="12"/>
  <c r="E33" i="12"/>
  <c r="D33" i="12"/>
  <c r="F33" i="12" s="1"/>
  <c r="F32" i="12"/>
  <c r="E32" i="12"/>
  <c r="D32" i="12"/>
  <c r="E31" i="12"/>
  <c r="D31" i="12"/>
  <c r="F31" i="12" s="1"/>
  <c r="F30" i="12"/>
  <c r="E30" i="12"/>
  <c r="D30" i="12"/>
  <c r="E29" i="12"/>
  <c r="D29" i="12"/>
  <c r="F29" i="12" s="1"/>
  <c r="F28" i="12"/>
  <c r="E28" i="12"/>
  <c r="D28" i="12"/>
  <c r="E27" i="12"/>
  <c r="D27" i="12"/>
  <c r="F27" i="12" s="1"/>
  <c r="F26" i="12"/>
  <c r="E26" i="12"/>
  <c r="D26" i="12"/>
  <c r="E25" i="12"/>
  <c r="D25" i="12"/>
  <c r="F25" i="12" s="1"/>
  <c r="F24" i="12"/>
  <c r="E24" i="12"/>
  <c r="D24" i="12"/>
  <c r="E23" i="12"/>
  <c r="D23" i="12"/>
  <c r="F23" i="12" s="1"/>
  <c r="F22" i="12"/>
  <c r="E22" i="12"/>
  <c r="D22" i="12"/>
  <c r="E21" i="12"/>
  <c r="D21" i="12"/>
  <c r="F21" i="12" s="1"/>
  <c r="E20" i="12"/>
  <c r="D20" i="12"/>
  <c r="F20" i="12" s="1"/>
  <c r="E19" i="12"/>
  <c r="D19" i="12"/>
  <c r="F19" i="12" s="1"/>
  <c r="F18" i="12"/>
  <c r="E18" i="12"/>
  <c r="D18" i="12"/>
  <c r="E17" i="12"/>
  <c r="D17" i="12"/>
  <c r="F17" i="12" s="1"/>
  <c r="E16" i="12"/>
  <c r="F16" i="12" s="1"/>
  <c r="D16" i="12"/>
  <c r="E15" i="12"/>
  <c r="D15" i="12"/>
  <c r="F15" i="12" s="1"/>
  <c r="F14" i="12"/>
  <c r="E14" i="12"/>
  <c r="D14" i="12"/>
  <c r="E13" i="12"/>
  <c r="D13" i="12"/>
  <c r="E12" i="12"/>
  <c r="F12" i="12" s="1"/>
  <c r="D12" i="12"/>
  <c r="K11" i="12"/>
  <c r="K12" i="12" s="1"/>
  <c r="F11" i="12"/>
  <c r="E11" i="12"/>
  <c r="K10" i="12"/>
  <c r="H9" i="12" s="1"/>
  <c r="F10" i="12"/>
  <c r="E10" i="12"/>
  <c r="K9" i="12"/>
  <c r="E9" i="12"/>
  <c r="F9" i="12" s="1"/>
  <c r="I9" i="12" s="1"/>
  <c r="H8" i="12"/>
  <c r="F8" i="12"/>
  <c r="E8" i="12"/>
  <c r="E7" i="12"/>
  <c r="G84" i="6" l="1"/>
  <c r="G33" i="6"/>
  <c r="G71" i="6"/>
  <c r="G78" i="6"/>
  <c r="H11" i="12"/>
  <c r="I11" i="12" s="1"/>
  <c r="K13" i="12"/>
  <c r="I10" i="12"/>
  <c r="F13" i="12"/>
  <c r="F42" i="12"/>
  <c r="J95" i="12"/>
  <c r="J131" i="12"/>
  <c r="H10" i="12"/>
  <c r="J59" i="12"/>
  <c r="J107" i="12"/>
  <c r="J71" i="12"/>
  <c r="J83" i="12"/>
  <c r="D372" i="12"/>
  <c r="J35" i="12"/>
  <c r="J179" i="12"/>
  <c r="F112" i="12"/>
  <c r="J191" i="12"/>
  <c r="J203" i="12"/>
  <c r="E372" i="12"/>
  <c r="F7" i="12"/>
  <c r="F108" i="12"/>
  <c r="F116" i="12"/>
  <c r="J239" i="12"/>
  <c r="F365" i="12"/>
  <c r="J311" i="12"/>
  <c r="J323" i="12"/>
  <c r="F216" i="12"/>
  <c r="F220" i="12"/>
  <c r="F224" i="12"/>
  <c r="F298" i="12"/>
  <c r="J299" i="12" s="1"/>
  <c r="F336" i="12"/>
  <c r="J335" i="12"/>
  <c r="J275" i="12"/>
  <c r="F319" i="12"/>
  <c r="J359" i="12"/>
  <c r="J251" i="12"/>
  <c r="J263" i="12"/>
  <c r="J287" i="12"/>
  <c r="F361" i="12"/>
  <c r="F209" i="12"/>
  <c r="F213" i="12"/>
  <c r="F227" i="12"/>
  <c r="F340" i="12"/>
  <c r="J119" i="12" l="1"/>
  <c r="H12" i="12"/>
  <c r="I12" i="12" s="1"/>
  <c r="K14" i="12"/>
  <c r="J47" i="12"/>
  <c r="J371" i="12"/>
  <c r="J347" i="12"/>
  <c r="J215" i="12"/>
  <c r="J227" i="12"/>
  <c r="J23" i="12"/>
  <c r="F372" i="12"/>
  <c r="J11" i="12"/>
  <c r="H13" i="12" l="1"/>
  <c r="I13" i="12" s="1"/>
  <c r="K15" i="12"/>
  <c r="J372" i="12"/>
  <c r="K16" i="12" l="1"/>
  <c r="H14" i="12"/>
  <c r="I14" i="12" s="1"/>
  <c r="H15" i="12" l="1"/>
  <c r="I15" i="12" s="1"/>
  <c r="K17" i="12"/>
  <c r="H16" i="12" l="1"/>
  <c r="I16" i="12" s="1"/>
  <c r="K18" i="12"/>
  <c r="H17" i="12" l="1"/>
  <c r="I17" i="12" s="1"/>
  <c r="K19" i="12"/>
  <c r="K20" i="12" l="1"/>
  <c r="H18" i="12"/>
  <c r="I18" i="12" s="1"/>
  <c r="H19" i="12" l="1"/>
  <c r="I19" i="12" s="1"/>
  <c r="K21" i="12"/>
  <c r="H20" i="12" l="1"/>
  <c r="I20" i="12" s="1"/>
  <c r="K22" i="12"/>
  <c r="H21" i="12" l="1"/>
  <c r="I21" i="12" s="1"/>
  <c r="K23" i="12"/>
  <c r="K24" i="12" l="1"/>
  <c r="H22" i="12"/>
  <c r="I22" i="12" s="1"/>
  <c r="H23" i="12" l="1"/>
  <c r="I23" i="12" s="1"/>
  <c r="K25" i="12"/>
  <c r="H24" i="12" l="1"/>
  <c r="I24" i="12" s="1"/>
  <c r="K26" i="12"/>
  <c r="H25" i="12" l="1"/>
  <c r="I25" i="12" s="1"/>
  <c r="K27" i="12"/>
  <c r="K28" i="12" l="1"/>
  <c r="H26" i="12"/>
  <c r="I26" i="12" s="1"/>
  <c r="H27" i="12" l="1"/>
  <c r="I27" i="12" s="1"/>
  <c r="K29" i="12"/>
  <c r="H28" i="12" l="1"/>
  <c r="I28" i="12" s="1"/>
  <c r="K30" i="12"/>
  <c r="H29" i="12" l="1"/>
  <c r="I29" i="12" s="1"/>
  <c r="K31" i="12"/>
  <c r="K32" i="12" l="1"/>
  <c r="H30" i="12"/>
  <c r="I30" i="12" s="1"/>
  <c r="H31" i="12" l="1"/>
  <c r="I31" i="12" s="1"/>
  <c r="K33" i="12"/>
  <c r="H32" i="12" l="1"/>
  <c r="I32" i="12" s="1"/>
  <c r="K34" i="12"/>
  <c r="H33" i="12" l="1"/>
  <c r="I33" i="12" s="1"/>
  <c r="K35" i="12"/>
  <c r="H34" i="12" l="1"/>
  <c r="I34" i="12" s="1"/>
  <c r="K36" i="12"/>
  <c r="H35" i="12" l="1"/>
  <c r="I35" i="12" s="1"/>
  <c r="K37" i="12"/>
  <c r="H36" i="12" l="1"/>
  <c r="I36" i="12" s="1"/>
  <c r="K38" i="12"/>
  <c r="H37" i="12" l="1"/>
  <c r="I37" i="12" s="1"/>
  <c r="K39" i="12"/>
  <c r="H38" i="12" l="1"/>
  <c r="I38" i="12" s="1"/>
  <c r="K40" i="12"/>
  <c r="K41" i="12" l="1"/>
  <c r="H39" i="12"/>
  <c r="I39" i="12" s="1"/>
  <c r="H40" i="12" l="1"/>
  <c r="I40" i="12" s="1"/>
  <c r="K42" i="12"/>
  <c r="H41" i="12" l="1"/>
  <c r="I41" i="12" s="1"/>
  <c r="K43" i="12"/>
  <c r="E11" i="6"/>
  <c r="E6" i="6"/>
  <c r="B84" i="6"/>
  <c r="B71" i="6"/>
  <c r="B43" i="6"/>
  <c r="B29" i="6"/>
  <c r="G29" i="6" s="1"/>
  <c r="B9" i="3"/>
  <c r="I8" i="2"/>
  <c r="B2" i="6" l="1"/>
  <c r="G9" i="6"/>
  <c r="H42" i="12"/>
  <c r="I42" i="12" s="1"/>
  <c r="K44" i="12"/>
  <c r="K45" i="12" l="1"/>
  <c r="H43" i="12"/>
  <c r="I43" i="12" s="1"/>
  <c r="G5" i="6"/>
  <c r="G6" i="6"/>
  <c r="G7" i="6"/>
  <c r="G8" i="6"/>
  <c r="H44" i="12" l="1"/>
  <c r="I44" i="12" s="1"/>
  <c r="K46" i="12"/>
  <c r="E30" i="1"/>
  <c r="H45" i="12" l="1"/>
  <c r="I45" i="12" s="1"/>
  <c r="K47" i="12"/>
  <c r="F69" i="6"/>
  <c r="G69" i="6" s="1"/>
  <c r="F68" i="6"/>
  <c r="G68" i="6" s="1"/>
  <c r="F65" i="6"/>
  <c r="G65" i="6" s="1"/>
  <c r="F60" i="6"/>
  <c r="G60" i="6" s="1"/>
  <c r="F61" i="6"/>
  <c r="F62" i="6"/>
  <c r="G62" i="6" s="1"/>
  <c r="F59" i="6"/>
  <c r="G59" i="6" s="1"/>
  <c r="G61" i="6" l="1"/>
  <c r="G43" i="6" s="1"/>
  <c r="F43" i="6"/>
  <c r="H46" i="12"/>
  <c r="I46" i="12" s="1"/>
  <c r="K48" i="12"/>
  <c r="K49" i="12" l="1"/>
  <c r="H47" i="12"/>
  <c r="I47" i="12" s="1"/>
  <c r="F44" i="1"/>
  <c r="F43" i="1"/>
  <c r="E35" i="1"/>
  <c r="E32" i="1"/>
  <c r="E29" i="1"/>
  <c r="E27" i="1"/>
  <c r="E26" i="1"/>
  <c r="H48" i="12" l="1"/>
  <c r="I48" i="12" s="1"/>
  <c r="K50" i="12"/>
  <c r="H49" i="12" l="1"/>
  <c r="I49" i="12" s="1"/>
  <c r="K51" i="12"/>
  <c r="B90" i="6"/>
  <c r="E31" i="1" s="1"/>
  <c r="B78" i="6"/>
  <c r="E9" i="1"/>
  <c r="F9" i="1" s="1"/>
  <c r="H50" i="12" l="1"/>
  <c r="I50" i="12" s="1"/>
  <c r="K52" i="12"/>
  <c r="K53" i="12" l="1"/>
  <c r="H51" i="12"/>
  <c r="I51" i="12" s="1"/>
  <c r="D43" i="6"/>
  <c r="B8" i="2" l="1"/>
  <c r="B12" i="2"/>
  <c r="B3" i="2" s="1"/>
  <c r="H52" i="12"/>
  <c r="I52" i="12" s="1"/>
  <c r="K54" i="12"/>
  <c r="B9" i="2" l="1"/>
  <c r="H53" i="12"/>
  <c r="I53" i="12" s="1"/>
  <c r="K55" i="12"/>
  <c r="D37" i="1"/>
  <c r="D19" i="1"/>
  <c r="B6" i="2" l="1"/>
  <c r="B2" i="2" s="1"/>
  <c r="B4" i="2" s="1"/>
  <c r="E8" i="1" s="1"/>
  <c r="F8" i="1" s="1"/>
  <c r="D42" i="1"/>
  <c r="H54" i="12"/>
  <c r="I54" i="12" s="1"/>
  <c r="K56" i="12"/>
  <c r="D51" i="1"/>
  <c r="E19" i="1" l="1"/>
  <c r="K57" i="12"/>
  <c r="H55" i="12"/>
  <c r="I55" i="12" s="1"/>
  <c r="B13" i="6"/>
  <c r="E42" i="1" l="1"/>
  <c r="F42" i="1" s="1"/>
  <c r="F19" i="1"/>
  <c r="H56" i="12"/>
  <c r="I56" i="12" s="1"/>
  <c r="K58" i="12"/>
  <c r="E24" i="1"/>
  <c r="F24" i="1" s="1"/>
  <c r="H57" i="12" l="1"/>
  <c r="I57" i="12" s="1"/>
  <c r="K59" i="12"/>
  <c r="E36" i="1"/>
  <c r="F36" i="1" s="1"/>
  <c r="D39" i="1"/>
  <c r="D46" i="1" s="1"/>
  <c r="D45" i="1" s="1"/>
  <c r="H58" i="12" l="1"/>
  <c r="I58" i="12" s="1"/>
  <c r="K60" i="12"/>
  <c r="E37" i="1"/>
  <c r="F37" i="1" s="1"/>
  <c r="D52" i="1"/>
  <c r="H59" i="12" l="1"/>
  <c r="I59" i="12" s="1"/>
  <c r="K61" i="12"/>
  <c r="E39" i="1"/>
  <c r="E53" i="1"/>
  <c r="F3" i="1"/>
  <c r="E46" i="1" l="1"/>
  <c r="E45" i="1" s="1"/>
  <c r="F45" i="1" s="1"/>
  <c r="K62" i="12"/>
  <c r="H60" i="12"/>
  <c r="I60" i="12" s="1"/>
  <c r="F39" i="1"/>
  <c r="F46" i="1" l="1"/>
  <c r="E51" i="1"/>
  <c r="E52" i="1"/>
  <c r="H61" i="12"/>
  <c r="I61" i="12" s="1"/>
  <c r="K63" i="12"/>
  <c r="H62" i="12" l="1"/>
  <c r="I62" i="12" s="1"/>
  <c r="K64" i="12"/>
  <c r="H63" i="12" l="1"/>
  <c r="I63" i="12" s="1"/>
  <c r="K65" i="12"/>
  <c r="K66" i="12" l="1"/>
  <c r="H64" i="12"/>
  <c r="I64" i="12" s="1"/>
  <c r="H65" i="12" l="1"/>
  <c r="I65" i="12" s="1"/>
  <c r="K67" i="12"/>
  <c r="H66" i="12" l="1"/>
  <c r="I66" i="12" s="1"/>
  <c r="K68" i="12"/>
  <c r="H67" i="12" l="1"/>
  <c r="I67" i="12" s="1"/>
  <c r="K69" i="12"/>
  <c r="K70" i="12" l="1"/>
  <c r="H68" i="12"/>
  <c r="I68" i="12" s="1"/>
  <c r="H69" i="12" l="1"/>
  <c r="I69" i="12" s="1"/>
  <c r="K71" i="12"/>
  <c r="H70" i="12" l="1"/>
  <c r="I70" i="12" s="1"/>
  <c r="K72" i="12"/>
  <c r="H71" i="12" l="1"/>
  <c r="I71" i="12" s="1"/>
  <c r="K73" i="12"/>
  <c r="K74" i="12" l="1"/>
  <c r="H72" i="12"/>
  <c r="I72" i="12" s="1"/>
  <c r="H73" i="12" l="1"/>
  <c r="I73" i="12" s="1"/>
  <c r="K75" i="12"/>
  <c r="H74" i="12" l="1"/>
  <c r="I74" i="12" s="1"/>
  <c r="K76" i="12"/>
  <c r="H75" i="12" l="1"/>
  <c r="I75" i="12" s="1"/>
  <c r="K77" i="12"/>
  <c r="K78" i="12" l="1"/>
  <c r="H76" i="12"/>
  <c r="I76" i="12" s="1"/>
  <c r="H77" i="12" l="1"/>
  <c r="I77" i="12" s="1"/>
  <c r="K79" i="12"/>
  <c r="H78" i="12" l="1"/>
  <c r="I78" i="12" s="1"/>
  <c r="K80" i="12"/>
  <c r="H79" i="12" l="1"/>
  <c r="I79" i="12" s="1"/>
  <c r="K81" i="12"/>
  <c r="K82" i="12" l="1"/>
  <c r="H80" i="12"/>
  <c r="I80" i="12" s="1"/>
  <c r="H81" i="12" l="1"/>
  <c r="I81" i="12" s="1"/>
  <c r="K83" i="12"/>
  <c r="H82" i="12" l="1"/>
  <c r="I82" i="12" s="1"/>
  <c r="K84" i="12"/>
  <c r="H83" i="12" l="1"/>
  <c r="I83" i="12" s="1"/>
  <c r="K85" i="12"/>
  <c r="H84" i="12" l="1"/>
  <c r="I84" i="12" s="1"/>
  <c r="K86" i="12"/>
  <c r="K87" i="12" l="1"/>
  <c r="H85" i="12"/>
  <c r="I85" i="12" s="1"/>
  <c r="H86" i="12" l="1"/>
  <c r="I86" i="12" s="1"/>
  <c r="K88" i="12"/>
  <c r="H87" i="12" l="1"/>
  <c r="I87" i="12" s="1"/>
  <c r="K89" i="12"/>
  <c r="H88" i="12" l="1"/>
  <c r="I88" i="12" s="1"/>
  <c r="K90" i="12"/>
  <c r="K91" i="12" l="1"/>
  <c r="H89" i="12"/>
  <c r="I89" i="12" s="1"/>
  <c r="H90" i="12" l="1"/>
  <c r="I90" i="12" s="1"/>
  <c r="K92" i="12"/>
  <c r="H91" i="12" l="1"/>
  <c r="I91" i="12" s="1"/>
  <c r="K93" i="12"/>
  <c r="K94" i="12" l="1"/>
  <c r="H92" i="12"/>
  <c r="I92" i="12" s="1"/>
  <c r="K95" i="12" l="1"/>
  <c r="H93" i="12"/>
  <c r="I93" i="12" s="1"/>
  <c r="H94" i="12" l="1"/>
  <c r="I94" i="12" s="1"/>
  <c r="K96" i="12"/>
  <c r="H95" i="12" l="1"/>
  <c r="I95" i="12" s="1"/>
  <c r="K97" i="12"/>
  <c r="H96" i="12" l="1"/>
  <c r="I96" i="12" s="1"/>
  <c r="K98" i="12"/>
  <c r="K99" i="12" l="1"/>
  <c r="H97" i="12"/>
  <c r="I97" i="12" s="1"/>
  <c r="H98" i="12" l="1"/>
  <c r="I98" i="12" s="1"/>
  <c r="K100" i="12"/>
  <c r="K101" i="12" l="1"/>
  <c r="H99" i="12"/>
  <c r="I99" i="12" s="1"/>
  <c r="H100" i="12" l="1"/>
  <c r="I100" i="12" s="1"/>
  <c r="K102" i="12"/>
  <c r="K103" i="12" l="1"/>
  <c r="H101" i="12"/>
  <c r="I101" i="12" s="1"/>
  <c r="K104" i="12" l="1"/>
  <c r="H102" i="12"/>
  <c r="I102" i="12" s="1"/>
  <c r="K105" i="12" l="1"/>
  <c r="H103" i="12"/>
  <c r="I103" i="12" s="1"/>
  <c r="H104" i="12" l="1"/>
  <c r="I104" i="12" s="1"/>
  <c r="K106" i="12"/>
  <c r="H105" i="12" l="1"/>
  <c r="I105" i="12" s="1"/>
  <c r="K107" i="12"/>
  <c r="H106" i="12" l="1"/>
  <c r="I106" i="12" s="1"/>
  <c r="K108" i="12"/>
  <c r="H107" i="12" l="1"/>
  <c r="I107" i="12" s="1"/>
  <c r="K109" i="12"/>
  <c r="K110" i="12" l="1"/>
  <c r="H108" i="12"/>
  <c r="I108" i="12" s="1"/>
  <c r="K111" i="12" l="1"/>
  <c r="H109" i="12"/>
  <c r="I109" i="12" s="1"/>
  <c r="H110" i="12" l="1"/>
  <c r="I110" i="12" s="1"/>
  <c r="K112" i="12"/>
  <c r="H111" i="12" l="1"/>
  <c r="I111" i="12" s="1"/>
  <c r="K113" i="12"/>
  <c r="H112" i="12" l="1"/>
  <c r="I112" i="12" s="1"/>
  <c r="K114" i="12"/>
  <c r="K115" i="12" l="1"/>
  <c r="H113" i="12"/>
  <c r="I113" i="12" s="1"/>
  <c r="H114" i="12" l="1"/>
  <c r="I114" i="12" s="1"/>
  <c r="K116" i="12"/>
  <c r="H115" i="12" l="1"/>
  <c r="I115" i="12" s="1"/>
  <c r="K117" i="12"/>
  <c r="H116" i="12" l="1"/>
  <c r="I116" i="12" s="1"/>
  <c r="K118" i="12"/>
  <c r="K119" i="12" l="1"/>
  <c r="H117" i="12"/>
  <c r="I117" i="12" s="1"/>
  <c r="H118" i="12" l="1"/>
  <c r="I118" i="12" s="1"/>
  <c r="K120" i="12"/>
  <c r="H119" i="12" l="1"/>
  <c r="I119" i="12" s="1"/>
  <c r="K121" i="12"/>
  <c r="K122" i="12" l="1"/>
  <c r="H120" i="12"/>
  <c r="I120" i="12" s="1"/>
  <c r="H121" i="12" l="1"/>
  <c r="I121" i="12" s="1"/>
  <c r="K123" i="12"/>
  <c r="H122" i="12" l="1"/>
  <c r="I122" i="12" s="1"/>
  <c r="K124" i="12"/>
  <c r="H123" i="12" l="1"/>
  <c r="I123" i="12" s="1"/>
  <c r="K125" i="12"/>
  <c r="K126" i="12" l="1"/>
  <c r="H124" i="12"/>
  <c r="I124" i="12" s="1"/>
  <c r="H125" i="12" l="1"/>
  <c r="I125" i="12" s="1"/>
  <c r="K127" i="12"/>
  <c r="H126" i="12" l="1"/>
  <c r="I126" i="12" s="1"/>
  <c r="K128" i="12"/>
  <c r="H127" i="12" l="1"/>
  <c r="I127" i="12" s="1"/>
  <c r="K129" i="12"/>
  <c r="K130" i="12" l="1"/>
  <c r="H128" i="12"/>
  <c r="I128" i="12" s="1"/>
  <c r="H129" i="12" l="1"/>
  <c r="I129" i="12" s="1"/>
  <c r="K131" i="12"/>
  <c r="H130" i="12" l="1"/>
  <c r="I130" i="12" s="1"/>
  <c r="K132" i="12"/>
  <c r="H131" i="12" l="1"/>
  <c r="I131" i="12" s="1"/>
  <c r="K133" i="12"/>
  <c r="H132" i="12" l="1"/>
  <c r="I132" i="12" s="1"/>
  <c r="K134" i="12"/>
  <c r="K135" i="12" l="1"/>
  <c r="H133" i="12"/>
  <c r="I133" i="12" s="1"/>
  <c r="H134" i="12" l="1"/>
  <c r="I134" i="12" s="1"/>
  <c r="K136" i="12"/>
  <c r="H135" i="12" l="1"/>
  <c r="I135" i="12" s="1"/>
  <c r="K137" i="12"/>
  <c r="H136" i="12" l="1"/>
  <c r="I136" i="12" s="1"/>
  <c r="K138" i="12"/>
  <c r="K139" i="12" l="1"/>
  <c r="H137" i="12"/>
  <c r="I137" i="12" s="1"/>
  <c r="H138" i="12" l="1"/>
  <c r="I138" i="12" s="1"/>
  <c r="K140" i="12"/>
  <c r="H139" i="12" l="1"/>
  <c r="I139" i="12" s="1"/>
  <c r="K141" i="12"/>
  <c r="H140" i="12" l="1"/>
  <c r="I140" i="12" s="1"/>
  <c r="K142" i="12"/>
  <c r="K143" i="12" l="1"/>
  <c r="H141" i="12"/>
  <c r="I141" i="12" s="1"/>
  <c r="H142" i="12" l="1"/>
  <c r="I142" i="12" s="1"/>
  <c r="K144" i="12"/>
  <c r="H143" i="12" l="1"/>
  <c r="I143" i="12" s="1"/>
  <c r="K145" i="12"/>
  <c r="H144" i="12" l="1"/>
  <c r="I144" i="12" s="1"/>
  <c r="K146" i="12"/>
  <c r="K147" i="12" l="1"/>
  <c r="H145" i="12"/>
  <c r="I145" i="12" s="1"/>
  <c r="H146" i="12" l="1"/>
  <c r="I146" i="12" s="1"/>
  <c r="K148" i="12"/>
  <c r="H147" i="12" l="1"/>
  <c r="I147" i="12" s="1"/>
  <c r="K149" i="12"/>
  <c r="H148" i="12" l="1"/>
  <c r="I148" i="12" s="1"/>
  <c r="K150" i="12"/>
  <c r="K151" i="12" l="1"/>
  <c r="H149" i="12"/>
  <c r="I149" i="12" s="1"/>
  <c r="H150" i="12" l="1"/>
  <c r="I150" i="12" s="1"/>
  <c r="K152" i="12"/>
  <c r="H151" i="12" l="1"/>
  <c r="I151" i="12" s="1"/>
  <c r="K153" i="12"/>
  <c r="H152" i="12" l="1"/>
  <c r="I152" i="12" s="1"/>
  <c r="K154" i="12"/>
  <c r="H153" i="12" l="1"/>
  <c r="I153" i="12" s="1"/>
  <c r="K155" i="12"/>
  <c r="H154" i="12" l="1"/>
  <c r="I154" i="12" s="1"/>
  <c r="K156" i="12"/>
  <c r="H155" i="12" l="1"/>
  <c r="I155" i="12" s="1"/>
  <c r="K157" i="12"/>
  <c r="H156" i="12" l="1"/>
  <c r="I156" i="12" s="1"/>
  <c r="K158" i="12"/>
  <c r="H157" i="12" l="1"/>
  <c r="I157" i="12" s="1"/>
  <c r="K159" i="12"/>
  <c r="K160" i="12" l="1"/>
  <c r="H158" i="12"/>
  <c r="I158" i="12" s="1"/>
  <c r="H159" i="12" l="1"/>
  <c r="I159" i="12" s="1"/>
  <c r="K161" i="12"/>
  <c r="H160" i="12" l="1"/>
  <c r="I160" i="12" s="1"/>
  <c r="K162" i="12"/>
  <c r="H161" i="12" l="1"/>
  <c r="I161" i="12" s="1"/>
  <c r="K163" i="12"/>
  <c r="K164" i="12" l="1"/>
  <c r="H162" i="12"/>
  <c r="I162" i="12" s="1"/>
  <c r="H163" i="12" l="1"/>
  <c r="I163" i="12" s="1"/>
  <c r="K165" i="12"/>
  <c r="H164" i="12" l="1"/>
  <c r="I164" i="12" s="1"/>
  <c r="K166" i="12"/>
  <c r="H165" i="12" l="1"/>
  <c r="I165" i="12" s="1"/>
  <c r="K167" i="12"/>
  <c r="K168" i="12" l="1"/>
  <c r="H166" i="12"/>
  <c r="I166" i="12" s="1"/>
  <c r="H167" i="12" l="1"/>
  <c r="I167" i="12" s="1"/>
  <c r="K169" i="12"/>
  <c r="H168" i="12" l="1"/>
  <c r="I168" i="12" s="1"/>
  <c r="K170" i="12"/>
  <c r="H169" i="12" l="1"/>
  <c r="I169" i="12" s="1"/>
  <c r="K171" i="12"/>
  <c r="K172" i="12" l="1"/>
  <c r="H170" i="12"/>
  <c r="I170" i="12" s="1"/>
  <c r="H171" i="12" l="1"/>
  <c r="I171" i="12" s="1"/>
  <c r="K173" i="12"/>
  <c r="H172" i="12" l="1"/>
  <c r="I172" i="12" s="1"/>
  <c r="K174" i="12"/>
  <c r="H173" i="12" l="1"/>
  <c r="I173" i="12" s="1"/>
  <c r="K175" i="12"/>
  <c r="K176" i="12" l="1"/>
  <c r="H174" i="12"/>
  <c r="I174" i="12" s="1"/>
  <c r="H175" i="12" l="1"/>
  <c r="I175" i="12" s="1"/>
  <c r="K177" i="12"/>
  <c r="H176" i="12" l="1"/>
  <c r="I176" i="12" s="1"/>
  <c r="K178" i="12"/>
  <c r="H177" i="12" l="1"/>
  <c r="I177" i="12" s="1"/>
  <c r="K179" i="12"/>
  <c r="H178" i="12" l="1"/>
  <c r="I178" i="12" s="1"/>
  <c r="K180" i="12"/>
  <c r="H179" i="12" l="1"/>
  <c r="I179" i="12" s="1"/>
  <c r="K181" i="12"/>
  <c r="H180" i="12" l="1"/>
  <c r="I180" i="12" s="1"/>
  <c r="K182" i="12"/>
  <c r="H181" i="12" l="1"/>
  <c r="I181" i="12" s="1"/>
  <c r="K183" i="12"/>
  <c r="H182" i="12" l="1"/>
  <c r="I182" i="12" s="1"/>
  <c r="K184" i="12"/>
  <c r="K185" i="12" l="1"/>
  <c r="H183" i="12"/>
  <c r="I183" i="12" s="1"/>
  <c r="H184" i="12" l="1"/>
  <c r="I184" i="12" s="1"/>
  <c r="K186" i="12"/>
  <c r="H185" i="12" l="1"/>
  <c r="I185" i="12" s="1"/>
  <c r="K187" i="12"/>
  <c r="H186" i="12" l="1"/>
  <c r="I186" i="12" s="1"/>
  <c r="K188" i="12"/>
  <c r="K189" i="12" l="1"/>
  <c r="H187" i="12"/>
  <c r="I187" i="12" s="1"/>
  <c r="H188" i="12" l="1"/>
  <c r="I188" i="12" s="1"/>
  <c r="K190" i="12"/>
  <c r="H189" i="12" l="1"/>
  <c r="I189" i="12" s="1"/>
  <c r="K191" i="12"/>
  <c r="H190" i="12" l="1"/>
  <c r="I190" i="12" s="1"/>
  <c r="K192" i="12"/>
  <c r="K193" i="12" l="1"/>
  <c r="H191" i="12"/>
  <c r="I191" i="12" s="1"/>
  <c r="H192" i="12" l="1"/>
  <c r="I192" i="12" s="1"/>
  <c r="K194" i="12"/>
  <c r="H193" i="12" l="1"/>
  <c r="I193" i="12" s="1"/>
  <c r="K195" i="12"/>
  <c r="H194" i="12" l="1"/>
  <c r="I194" i="12" s="1"/>
  <c r="K196" i="12"/>
  <c r="K197" i="12" l="1"/>
  <c r="H195" i="12"/>
  <c r="I195" i="12" s="1"/>
  <c r="H196" i="12" l="1"/>
  <c r="I196" i="12" s="1"/>
  <c r="K198" i="12"/>
  <c r="H197" i="12" l="1"/>
  <c r="I197" i="12" s="1"/>
  <c r="K199" i="12"/>
  <c r="H198" i="12" l="1"/>
  <c r="I198" i="12" s="1"/>
  <c r="K200" i="12"/>
  <c r="K201" i="12" l="1"/>
  <c r="H199" i="12"/>
  <c r="I199" i="12" s="1"/>
  <c r="H200" i="12" l="1"/>
  <c r="I200" i="12" s="1"/>
  <c r="K202" i="12"/>
  <c r="H201" i="12" l="1"/>
  <c r="I201" i="12" s="1"/>
  <c r="K203" i="12"/>
  <c r="H202" i="12" l="1"/>
  <c r="I202" i="12" s="1"/>
  <c r="K204" i="12"/>
  <c r="K205" i="12" l="1"/>
  <c r="H203" i="12"/>
  <c r="I203" i="12" s="1"/>
  <c r="K206" i="12" l="1"/>
  <c r="H204" i="12"/>
  <c r="I204" i="12" s="1"/>
  <c r="H205" i="12" l="1"/>
  <c r="I205" i="12" s="1"/>
  <c r="K207" i="12"/>
  <c r="K208" i="12" l="1"/>
  <c r="H206" i="12"/>
  <c r="I206" i="12" s="1"/>
  <c r="K209" i="12" l="1"/>
  <c r="H207" i="12"/>
  <c r="I207" i="12" s="1"/>
  <c r="H208" i="12" l="1"/>
  <c r="I208" i="12" s="1"/>
  <c r="K210" i="12"/>
  <c r="H209" i="12" l="1"/>
  <c r="I209" i="12" s="1"/>
  <c r="K211" i="12"/>
  <c r="K212" i="12" l="1"/>
  <c r="H210" i="12"/>
  <c r="I210" i="12" s="1"/>
  <c r="K213" i="12" l="1"/>
  <c r="H211" i="12"/>
  <c r="I211" i="12" s="1"/>
  <c r="H212" i="12" l="1"/>
  <c r="I212" i="12" s="1"/>
  <c r="K214" i="12"/>
  <c r="H213" i="12" l="1"/>
  <c r="I213" i="12" s="1"/>
  <c r="K215" i="12"/>
  <c r="K216" i="12" l="1"/>
  <c r="H214" i="12"/>
  <c r="I214" i="12" s="1"/>
  <c r="H215" i="12" l="1"/>
  <c r="I215" i="12" s="1"/>
  <c r="K217" i="12"/>
  <c r="K218" i="12" l="1"/>
  <c r="H216" i="12"/>
  <c r="I216" i="12" s="1"/>
  <c r="K219" i="12" l="1"/>
  <c r="H217" i="12"/>
  <c r="I217" i="12" s="1"/>
  <c r="H218" i="12" l="1"/>
  <c r="I218" i="12" s="1"/>
  <c r="K220" i="12"/>
  <c r="K221" i="12" l="1"/>
  <c r="H219" i="12"/>
  <c r="I219" i="12" s="1"/>
  <c r="K222" i="12" l="1"/>
  <c r="H220" i="12"/>
  <c r="I220" i="12" s="1"/>
  <c r="K223" i="12" l="1"/>
  <c r="H221" i="12"/>
  <c r="I221" i="12" s="1"/>
  <c r="H222" i="12" l="1"/>
  <c r="I222" i="12" s="1"/>
  <c r="K224" i="12"/>
  <c r="K225" i="12" l="1"/>
  <c r="H223" i="12"/>
  <c r="I223" i="12" s="1"/>
  <c r="K226" i="12" l="1"/>
  <c r="H224" i="12"/>
  <c r="I224" i="12" s="1"/>
  <c r="K227" i="12" l="1"/>
  <c r="H225" i="12"/>
  <c r="I225" i="12" s="1"/>
  <c r="H226" i="12" l="1"/>
  <c r="I226" i="12" s="1"/>
  <c r="K228" i="12"/>
  <c r="K229" i="12" l="1"/>
  <c r="H227" i="12"/>
  <c r="I227" i="12" s="1"/>
  <c r="K230" i="12" l="1"/>
  <c r="H228" i="12"/>
  <c r="I228" i="12" s="1"/>
  <c r="H229" i="12" l="1"/>
  <c r="I229" i="12" s="1"/>
  <c r="K231" i="12"/>
  <c r="H230" i="12" l="1"/>
  <c r="I230" i="12" s="1"/>
  <c r="K232" i="12"/>
  <c r="H231" i="12" l="1"/>
  <c r="I231" i="12" s="1"/>
  <c r="K233" i="12"/>
  <c r="K234" i="12" l="1"/>
  <c r="H232" i="12"/>
  <c r="I232" i="12" s="1"/>
  <c r="H233" i="12" l="1"/>
  <c r="I233" i="12" s="1"/>
  <c r="K235" i="12"/>
  <c r="H234" i="12" l="1"/>
  <c r="I234" i="12" s="1"/>
  <c r="K236" i="12"/>
  <c r="H235" i="12" l="1"/>
  <c r="I235" i="12" s="1"/>
  <c r="K237" i="12"/>
  <c r="K238" i="12" l="1"/>
  <c r="H236" i="12"/>
  <c r="I236" i="12" s="1"/>
  <c r="H237" i="12" l="1"/>
  <c r="I237" i="12" s="1"/>
  <c r="K239" i="12"/>
  <c r="H238" i="12" l="1"/>
  <c r="I238" i="12" s="1"/>
  <c r="K240" i="12"/>
  <c r="H239" i="12" l="1"/>
  <c r="I239" i="12" s="1"/>
  <c r="K241" i="12"/>
  <c r="H240" i="12" l="1"/>
  <c r="I240" i="12" s="1"/>
  <c r="K242" i="12"/>
  <c r="K243" i="12" l="1"/>
  <c r="H241" i="12"/>
  <c r="I241" i="12" s="1"/>
  <c r="H242" i="12" l="1"/>
  <c r="I242" i="12" s="1"/>
  <c r="K244" i="12"/>
  <c r="H243" i="12" l="1"/>
  <c r="I243" i="12" s="1"/>
  <c r="K245" i="12"/>
  <c r="H244" i="12" l="1"/>
  <c r="I244" i="12" s="1"/>
  <c r="K246" i="12"/>
  <c r="K247" i="12" l="1"/>
  <c r="H245" i="12"/>
  <c r="I245" i="12" s="1"/>
  <c r="H246" i="12" l="1"/>
  <c r="I246" i="12" s="1"/>
  <c r="K248" i="12"/>
  <c r="H247" i="12" l="1"/>
  <c r="I247" i="12" s="1"/>
  <c r="K249" i="12"/>
  <c r="H248" i="12" l="1"/>
  <c r="I248" i="12" s="1"/>
  <c r="K250" i="12"/>
  <c r="K251" i="12" l="1"/>
  <c r="H249" i="12"/>
  <c r="I249" i="12" s="1"/>
  <c r="H250" i="12" l="1"/>
  <c r="I250" i="12" s="1"/>
  <c r="K252" i="12"/>
  <c r="H251" i="12" l="1"/>
  <c r="I251" i="12" s="1"/>
  <c r="K253" i="12"/>
  <c r="H252" i="12" l="1"/>
  <c r="I252" i="12" s="1"/>
  <c r="K254" i="12"/>
  <c r="K255" i="12" l="1"/>
  <c r="H253" i="12"/>
  <c r="I253" i="12" s="1"/>
  <c r="H254" i="12" l="1"/>
  <c r="I254" i="12" s="1"/>
  <c r="K256" i="12"/>
  <c r="H255" i="12" l="1"/>
  <c r="I255" i="12" s="1"/>
  <c r="K257" i="12"/>
  <c r="H256" i="12" l="1"/>
  <c r="I256" i="12" s="1"/>
  <c r="K258" i="12"/>
  <c r="K259" i="12" l="1"/>
  <c r="H257" i="12"/>
  <c r="I257" i="12" s="1"/>
  <c r="H258" i="12" l="1"/>
  <c r="I258" i="12" s="1"/>
  <c r="K260" i="12"/>
  <c r="H259" i="12" l="1"/>
  <c r="I259" i="12" s="1"/>
  <c r="K261" i="12"/>
  <c r="H260" i="12" l="1"/>
  <c r="I260" i="12" s="1"/>
  <c r="K262" i="12"/>
  <c r="H261" i="12" l="1"/>
  <c r="I261" i="12" s="1"/>
  <c r="K263" i="12"/>
  <c r="H262" i="12" l="1"/>
  <c r="I262" i="12" s="1"/>
  <c r="K264" i="12"/>
  <c r="H263" i="12" l="1"/>
  <c r="I263" i="12" s="1"/>
  <c r="K265" i="12"/>
  <c r="H264" i="12" l="1"/>
  <c r="I264" i="12" s="1"/>
  <c r="K266" i="12"/>
  <c r="H265" i="12" l="1"/>
  <c r="I265" i="12" s="1"/>
  <c r="K267" i="12"/>
  <c r="K268" i="12" l="1"/>
  <c r="H266" i="12"/>
  <c r="I266" i="12" s="1"/>
  <c r="H267" i="12" l="1"/>
  <c r="I267" i="12" s="1"/>
  <c r="K269" i="12"/>
  <c r="H268" i="12" l="1"/>
  <c r="I268" i="12" s="1"/>
  <c r="K270" i="12"/>
  <c r="H269" i="12" l="1"/>
  <c r="I269" i="12" s="1"/>
  <c r="K271" i="12"/>
  <c r="K272" i="12" l="1"/>
  <c r="H270" i="12"/>
  <c r="I270" i="12" s="1"/>
  <c r="H271" i="12" l="1"/>
  <c r="I271" i="12" s="1"/>
  <c r="K273" i="12"/>
  <c r="H272" i="12" l="1"/>
  <c r="I272" i="12" s="1"/>
  <c r="K274" i="12"/>
  <c r="H273" i="12" l="1"/>
  <c r="I273" i="12" s="1"/>
  <c r="K275" i="12"/>
  <c r="K276" i="12" l="1"/>
  <c r="H274" i="12"/>
  <c r="I274" i="12" s="1"/>
  <c r="H275" i="12" l="1"/>
  <c r="I275" i="12" s="1"/>
  <c r="K277" i="12"/>
  <c r="H276" i="12" l="1"/>
  <c r="I276" i="12" s="1"/>
  <c r="K278" i="12"/>
  <c r="H277" i="12" l="1"/>
  <c r="I277" i="12" s="1"/>
  <c r="K279" i="12"/>
  <c r="K280" i="12" l="1"/>
  <c r="H278" i="12"/>
  <c r="I278" i="12" s="1"/>
  <c r="H279" i="12" l="1"/>
  <c r="I279" i="12" s="1"/>
  <c r="K281" i="12"/>
  <c r="H280" i="12" l="1"/>
  <c r="I280" i="12" s="1"/>
  <c r="K282" i="12"/>
  <c r="H281" i="12" l="1"/>
  <c r="I281" i="12" s="1"/>
  <c r="K283" i="12"/>
  <c r="K284" i="12" l="1"/>
  <c r="H282" i="12"/>
  <c r="I282" i="12" s="1"/>
  <c r="H283" i="12" l="1"/>
  <c r="I283" i="12" s="1"/>
  <c r="K285" i="12"/>
  <c r="H284" i="12" l="1"/>
  <c r="I284" i="12" s="1"/>
  <c r="K286" i="12"/>
  <c r="H285" i="12" l="1"/>
  <c r="I285" i="12" s="1"/>
  <c r="K287" i="12"/>
  <c r="H286" i="12" l="1"/>
  <c r="I286" i="12" s="1"/>
  <c r="K288" i="12"/>
  <c r="H287" i="12" l="1"/>
  <c r="I287" i="12" s="1"/>
  <c r="K289" i="12"/>
  <c r="H288" i="12" l="1"/>
  <c r="I288" i="12" s="1"/>
  <c r="K290" i="12"/>
  <c r="H289" i="12" l="1"/>
  <c r="I289" i="12" s="1"/>
  <c r="K291" i="12"/>
  <c r="H290" i="12" l="1"/>
  <c r="I290" i="12" s="1"/>
  <c r="K292" i="12"/>
  <c r="K293" i="12" l="1"/>
  <c r="H291" i="12"/>
  <c r="I291" i="12" s="1"/>
  <c r="H292" i="12" l="1"/>
  <c r="I292" i="12" s="1"/>
  <c r="K294" i="12"/>
  <c r="H293" i="12" l="1"/>
  <c r="I293" i="12" s="1"/>
  <c r="K295" i="12"/>
  <c r="H294" i="12" l="1"/>
  <c r="I294" i="12" s="1"/>
  <c r="K296" i="12"/>
  <c r="K297" i="12" l="1"/>
  <c r="H295" i="12"/>
  <c r="I295" i="12" s="1"/>
  <c r="H296" i="12" l="1"/>
  <c r="I296" i="12" s="1"/>
  <c r="K298" i="12"/>
  <c r="H297" i="12" l="1"/>
  <c r="I297" i="12" s="1"/>
  <c r="K299" i="12"/>
  <c r="H298" i="12" l="1"/>
  <c r="I298" i="12" s="1"/>
  <c r="K300" i="12"/>
  <c r="K301" i="12" l="1"/>
  <c r="H299" i="12"/>
  <c r="I299" i="12" s="1"/>
  <c r="H300" i="12" l="1"/>
  <c r="I300" i="12" s="1"/>
  <c r="K302" i="12"/>
  <c r="H301" i="12" l="1"/>
  <c r="I301" i="12" s="1"/>
  <c r="K303" i="12"/>
  <c r="H302" i="12" l="1"/>
  <c r="I302" i="12" s="1"/>
  <c r="K304" i="12"/>
  <c r="K305" i="12" l="1"/>
  <c r="H303" i="12"/>
  <c r="I303" i="12" s="1"/>
  <c r="H304" i="12" l="1"/>
  <c r="I304" i="12" s="1"/>
  <c r="K306" i="12"/>
  <c r="H305" i="12" l="1"/>
  <c r="I305" i="12" s="1"/>
  <c r="K307" i="12"/>
  <c r="H306" i="12" l="1"/>
  <c r="I306" i="12" s="1"/>
  <c r="K308" i="12"/>
  <c r="K309" i="12" l="1"/>
  <c r="H307" i="12"/>
  <c r="I307" i="12" s="1"/>
  <c r="H308" i="12" l="1"/>
  <c r="I308" i="12" s="1"/>
  <c r="K310" i="12"/>
  <c r="H309" i="12" l="1"/>
  <c r="I309" i="12" s="1"/>
  <c r="K311" i="12"/>
  <c r="H310" i="12" l="1"/>
  <c r="I310" i="12" s="1"/>
  <c r="K312" i="12"/>
  <c r="H311" i="12" l="1"/>
  <c r="I311" i="12" s="1"/>
  <c r="K313" i="12"/>
  <c r="K314" i="12" l="1"/>
  <c r="H312" i="12"/>
  <c r="I312" i="12" s="1"/>
  <c r="H313" i="12" l="1"/>
  <c r="I313" i="12" s="1"/>
  <c r="K315" i="12"/>
  <c r="H314" i="12" l="1"/>
  <c r="I314" i="12" s="1"/>
  <c r="K316" i="12"/>
  <c r="H315" i="12" l="1"/>
  <c r="I315" i="12" s="1"/>
  <c r="K317" i="12"/>
  <c r="K318" i="12" l="1"/>
  <c r="H316" i="12"/>
  <c r="I316" i="12" s="1"/>
  <c r="H317" i="12" l="1"/>
  <c r="I317" i="12" s="1"/>
  <c r="K319" i="12"/>
  <c r="H318" i="12" l="1"/>
  <c r="I318" i="12" s="1"/>
  <c r="K320" i="12"/>
  <c r="H319" i="12" l="1"/>
  <c r="I319" i="12" s="1"/>
  <c r="K321" i="12"/>
  <c r="K322" i="12" l="1"/>
  <c r="H320" i="12"/>
  <c r="I320" i="12" s="1"/>
  <c r="H321" i="12" l="1"/>
  <c r="I321" i="12" s="1"/>
  <c r="K323" i="12"/>
  <c r="H322" i="12" l="1"/>
  <c r="I322" i="12" s="1"/>
  <c r="K324" i="12"/>
  <c r="H323" i="12" l="1"/>
  <c r="I323" i="12" s="1"/>
  <c r="K325" i="12"/>
  <c r="K326" i="12" l="1"/>
  <c r="H324" i="12"/>
  <c r="I324" i="12" s="1"/>
  <c r="H325" i="12" l="1"/>
  <c r="I325" i="12" s="1"/>
  <c r="K327" i="12"/>
  <c r="H326" i="12" l="1"/>
  <c r="I326" i="12" s="1"/>
  <c r="K328" i="12"/>
  <c r="H327" i="12" l="1"/>
  <c r="I327" i="12" s="1"/>
  <c r="K329" i="12"/>
  <c r="K330" i="12" l="1"/>
  <c r="H328" i="12"/>
  <c r="I328" i="12" s="1"/>
  <c r="H329" i="12" l="1"/>
  <c r="I329" i="12" s="1"/>
  <c r="K331" i="12"/>
  <c r="H330" i="12" l="1"/>
  <c r="I330" i="12" s="1"/>
  <c r="K332" i="12"/>
  <c r="H331" i="12" l="1"/>
  <c r="I331" i="12" s="1"/>
  <c r="K333" i="12"/>
  <c r="K334" i="12" l="1"/>
  <c r="H332" i="12"/>
  <c r="I332" i="12" s="1"/>
  <c r="H333" i="12" l="1"/>
  <c r="I333" i="12" s="1"/>
  <c r="K335" i="12"/>
  <c r="H334" i="12" l="1"/>
  <c r="I334" i="12" s="1"/>
  <c r="K336" i="12"/>
  <c r="H335" i="12" l="1"/>
  <c r="I335" i="12" s="1"/>
  <c r="K337" i="12"/>
  <c r="H336" i="12" l="1"/>
  <c r="I336" i="12" s="1"/>
  <c r="K338" i="12"/>
  <c r="K339" i="12" l="1"/>
  <c r="H337" i="12"/>
  <c r="I337" i="12" s="1"/>
  <c r="H338" i="12" l="1"/>
  <c r="I338" i="12" s="1"/>
  <c r="K340" i="12"/>
  <c r="H339" i="12" l="1"/>
  <c r="I339" i="12" s="1"/>
  <c r="K341" i="12"/>
  <c r="H340" i="12" l="1"/>
  <c r="I340" i="12" s="1"/>
  <c r="K342" i="12"/>
  <c r="K343" i="12" l="1"/>
  <c r="H341" i="12"/>
  <c r="I341" i="12" s="1"/>
  <c r="H342" i="12" l="1"/>
  <c r="I342" i="12" s="1"/>
  <c r="K344" i="12"/>
  <c r="H343" i="12" l="1"/>
  <c r="I343" i="12" s="1"/>
  <c r="K345" i="12"/>
  <c r="H344" i="12" l="1"/>
  <c r="I344" i="12" s="1"/>
  <c r="K346" i="12"/>
  <c r="K347" i="12" l="1"/>
  <c r="H345" i="12"/>
  <c r="I345" i="12" s="1"/>
  <c r="H346" i="12" l="1"/>
  <c r="I346" i="12" s="1"/>
  <c r="K348" i="12"/>
  <c r="H347" i="12" l="1"/>
  <c r="I347" i="12" s="1"/>
  <c r="K349" i="12"/>
  <c r="H348" i="12" l="1"/>
  <c r="I348" i="12" s="1"/>
  <c r="K350" i="12"/>
  <c r="K351" i="12" l="1"/>
  <c r="H349" i="12"/>
  <c r="I349" i="12" s="1"/>
  <c r="H350" i="12" l="1"/>
  <c r="I350" i="12" s="1"/>
  <c r="K352" i="12"/>
  <c r="H351" i="12" l="1"/>
  <c r="I351" i="12" s="1"/>
  <c r="K353" i="12"/>
  <c r="H352" i="12" l="1"/>
  <c r="I352" i="12" s="1"/>
  <c r="K354" i="12"/>
  <c r="K355" i="12" l="1"/>
  <c r="H353" i="12"/>
  <c r="I353" i="12" s="1"/>
  <c r="H354" i="12" l="1"/>
  <c r="I354" i="12" s="1"/>
  <c r="K356" i="12"/>
  <c r="H355" i="12" l="1"/>
  <c r="I355" i="12" s="1"/>
  <c r="K357" i="12"/>
  <c r="H356" i="12" l="1"/>
  <c r="I356" i="12" s="1"/>
  <c r="K358" i="12"/>
  <c r="H357" i="12" l="1"/>
  <c r="I357" i="12" s="1"/>
  <c r="K359" i="12"/>
  <c r="H358" i="12" l="1"/>
  <c r="I358" i="12" s="1"/>
  <c r="K360" i="12"/>
  <c r="H359" i="12" l="1"/>
  <c r="I359" i="12" s="1"/>
  <c r="K361" i="12"/>
  <c r="H360" i="12" l="1"/>
  <c r="I360" i="12" s="1"/>
  <c r="K362" i="12"/>
  <c r="H361" i="12" l="1"/>
  <c r="I361" i="12" s="1"/>
  <c r="K363" i="12"/>
  <c r="K364" i="12" l="1"/>
  <c r="H362" i="12"/>
  <c r="I362" i="12" s="1"/>
  <c r="H363" i="12" l="1"/>
  <c r="I363" i="12" s="1"/>
  <c r="K365" i="12"/>
  <c r="H364" i="12" l="1"/>
  <c r="I364" i="12" s="1"/>
  <c r="K366" i="12"/>
  <c r="H365" i="12" l="1"/>
  <c r="I365" i="12" s="1"/>
  <c r="K367" i="12"/>
  <c r="K368" i="12" l="1"/>
  <c r="H366" i="12"/>
  <c r="I366" i="12" s="1"/>
  <c r="H367" i="12" l="1"/>
  <c r="I367" i="12" s="1"/>
  <c r="K369" i="12"/>
  <c r="H368" i="12" l="1"/>
  <c r="I368" i="12" s="1"/>
  <c r="K370" i="12"/>
  <c r="H369" i="12" l="1"/>
  <c r="I369" i="12" s="1"/>
  <c r="K371" i="12"/>
  <c r="H370" i="12" s="1"/>
  <c r="I37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tc={458632CC-1F57-49D9-B93F-9F85DFB4B142}</author>
    <author>tc={128EBAB9-1CA1-4F3F-9D3A-00B06BEBDF75}</author>
    <author>tc={C87C266B-F115-4B47-85FF-BBAD9A42D8BE}</author>
    <author>tc={3BC3CC54-FCBF-41AB-85EA-57AF48A2584D}</author>
    <author>tc={1C661481-82B3-492B-836A-0D7ADABEFD85}</author>
    <author>tc={5CC6A494-C91F-4C74-AC0C-03EC273F4EBB}</author>
    <author>tc={7D3F16D5-2C80-434A-8FFB-9C1F1C463CD5}</author>
  </authors>
  <commentList>
    <comment ref="E5" authorId="0" shapeId="0" xr:uid="{458632CC-1F57-49D9-B93F-9F85DFB4B142}">
      <text>
        <t>[Threaded comment]
Your version of Excel allows you to read this threaded comment; however, any edits to it will get removed if the file is opened in a newer version of Excel. Learn more: https://go.microsoft.com/fwlink/?linkid=870924
Comment:
    5K for Paragon June, 5K for Wilklow May and June</t>
      </text>
    </comment>
    <comment ref="F11" authorId="1" shapeId="0" xr:uid="{128EBAB9-1CA1-4F3F-9D3A-00B06BEBDF75}">
      <text>
        <t>[Threaded comment]
Your version of Excel allows you to read this threaded comment; however, any edits to it will get removed if the file is opened in a newer version of Excel. Learn more: https://go.microsoft.com/fwlink/?linkid=870924
Comment:
    3K was in "other" in FY22</t>
      </text>
    </comment>
    <comment ref="F16" authorId="2" shapeId="0" xr:uid="{C87C266B-F115-4B47-85FF-BBAD9A42D8BE}">
      <text>
        <t>[Threaded comment]
Your version of Excel allows you to read this threaded comment; however, any edits to it will get removed if the file is opened in a newer version of Excel. Learn more: https://go.microsoft.com/fwlink/?linkid=870924
Comment:
    4K was in other</t>
      </text>
    </comment>
    <comment ref="D46" authorId="3" shapeId="0" xr:uid="{3BC3CC54-FCBF-41AB-85EA-57AF48A2584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ongoing grant supplies.</t>
      </text>
    </comment>
    <comment ref="D47" authorId="4" shapeId="0" xr:uid="{1C661481-82B3-492B-836A-0D7ADABEFD85}">
      <text>
        <t>[Threaded comment]
Your version of Excel allows you to read this threaded comment; however, any edits to it will get removed if the file is opened in a newer version of Excel. Learn more: https://go.microsoft.com/fwlink/?linkid=870924
Comment:
    Student Computers.</t>
      </text>
    </comment>
    <comment ref="E59" authorId="5" shapeId="0" xr:uid="{5CC6A494-C91F-4C74-AC0C-03EC273F4EB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4K for both May and June</t>
      </text>
    </comment>
    <comment ref="D73" authorId="6" shapeId="0" xr:uid="{7D3F16D5-2C80-434A-8FFB-9C1F1C463CD5}">
      <text>
        <t>[Threaded comment]
Your version of Excel allows you to read this threaded comment; however, any edits to it will get removed if the file is opened in a newer version of Excel. Learn more: https://go.microsoft.com/fwlink/?linkid=870924
Comment:
    11 new desktops. Not sure if this was for students or staff.</t>
      </text>
    </comment>
  </commentList>
</comments>
</file>

<file path=xl/sharedStrings.xml><?xml version="1.0" encoding="utf-8"?>
<sst xmlns="http://schemas.openxmlformats.org/spreadsheetml/2006/main" count="844" uniqueCount="509">
  <si>
    <t>FY 2022-23 Forecast</t>
  </si>
  <si>
    <t>Beginning Fund Balance</t>
  </si>
  <si>
    <t>Revenue</t>
  </si>
  <si>
    <t xml:space="preserve">Formula Based Funding: </t>
  </si>
  <si>
    <t>Local Sources</t>
  </si>
  <si>
    <t>Federal Sources</t>
  </si>
  <si>
    <t>Grants:</t>
  </si>
  <si>
    <t>State Competitive Grants</t>
  </si>
  <si>
    <t>Rental Income - Housing</t>
  </si>
  <si>
    <t>Rental Income - All other</t>
  </si>
  <si>
    <t>Donations</t>
  </si>
  <si>
    <t>Fundraisers</t>
  </si>
  <si>
    <t>Activity Fees</t>
  </si>
  <si>
    <t>Other Income</t>
  </si>
  <si>
    <t>Interest</t>
  </si>
  <si>
    <t>Total Revenue</t>
  </si>
  <si>
    <t>Expenditures</t>
  </si>
  <si>
    <t>Salaries</t>
  </si>
  <si>
    <t>Benefits</t>
  </si>
  <si>
    <t>Purchased &amp; Professional Services</t>
  </si>
  <si>
    <t>Purchased Services from CSI/CDE</t>
  </si>
  <si>
    <t>Utilities</t>
  </si>
  <si>
    <t>Communications</t>
  </si>
  <si>
    <t>Printing/Copying</t>
  </si>
  <si>
    <t>Marketing</t>
  </si>
  <si>
    <t>Supplies &amp; Materials</t>
  </si>
  <si>
    <t>Property - Capital Improvements</t>
  </si>
  <si>
    <t>Community Activities</t>
  </si>
  <si>
    <t>Other Expenditures</t>
  </si>
  <si>
    <t>Debt Service - Principal &amp; Interest</t>
  </si>
  <si>
    <t>Debt Service - Fees</t>
  </si>
  <si>
    <t>Contingency</t>
  </si>
  <si>
    <t>Total Expenditures</t>
  </si>
  <si>
    <t>Net Income</t>
  </si>
  <si>
    <t>Ending Fund Balance</t>
  </si>
  <si>
    <t>Restricted for TABOR</t>
  </si>
  <si>
    <t>Restricted Fund Balance</t>
  </si>
  <si>
    <t>Assigned - SPED Reserve</t>
  </si>
  <si>
    <t>Unreserved Fund Balance</t>
  </si>
  <si>
    <t>Total Ending Funding Balance</t>
  </si>
  <si>
    <t xml:space="preserve"> </t>
  </si>
  <si>
    <t>Key Metrics</t>
  </si>
  <si>
    <t>FY 2021-22 Adopted Budget</t>
  </si>
  <si>
    <t>Benchmark</t>
  </si>
  <si>
    <t>Unrestricted Fund Balance as % of Expenses</t>
  </si>
  <si>
    <t>&gt;16%</t>
  </si>
  <si>
    <t>Days of unrestricted fund balance on hand</t>
  </si>
  <si>
    <t>&gt;60 days</t>
  </si>
  <si>
    <t>Add more raise or bonuses if we exceed enrollment at October count or ERC funding received</t>
  </si>
  <si>
    <r>
      <t xml:space="preserve">Employee Retention Credit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included, estimate of 700k to 1.5 million actual</t>
    </r>
  </si>
  <si>
    <t>Operations is saving money due to excellent work by Facilities and IT</t>
  </si>
  <si>
    <t>Budget shows over 600K in net income for the year</t>
  </si>
  <si>
    <t>Grade</t>
  </si>
  <si>
    <t>enrolled 21/22</t>
  </si>
  <si>
    <t>23/24 (enrollment projection)</t>
  </si>
  <si>
    <t>K</t>
  </si>
  <si>
    <t>Total</t>
  </si>
  <si>
    <t>Budget</t>
  </si>
  <si>
    <t>State Equalization (K-12)</t>
  </si>
  <si>
    <t>Other State Funding</t>
  </si>
  <si>
    <t>State Equalization</t>
  </si>
  <si>
    <t>Enrollment/DE</t>
  </si>
  <si>
    <t>K-12  CSI on 5/5/23 with declining enrollment</t>
  </si>
  <si>
    <t xml:space="preserve">At-risk Adjustment </t>
  </si>
  <si>
    <t>At-risk Supplemental Aid</t>
  </si>
  <si>
    <t>Half of at-risk adjustment</t>
  </si>
  <si>
    <t>Other state funding</t>
  </si>
  <si>
    <t>ECEA</t>
  </si>
  <si>
    <t>$</t>
  </si>
  <si>
    <t>ELPA</t>
  </si>
  <si>
    <t>GT</t>
  </si>
  <si>
    <t xml:space="preserve">READ </t>
  </si>
  <si>
    <t>PERA on Behalf</t>
  </si>
  <si>
    <t>Cap Construction</t>
  </si>
  <si>
    <t>CSI Mill Levy Equalization</t>
  </si>
  <si>
    <t>CAP construction</t>
  </si>
  <si>
    <t>CSI Mill Levy</t>
  </si>
  <si>
    <t>Impact Aid</t>
  </si>
  <si>
    <t>Title II</t>
  </si>
  <si>
    <t>Title III</t>
  </si>
  <si>
    <t>Probably not a "local source"  TBD</t>
  </si>
  <si>
    <t>NOT included in the budget, but very likely</t>
  </si>
  <si>
    <t>Employee Retention Credit</t>
  </si>
  <si>
    <t>Estimate are 700K to 1.5 million</t>
  </si>
  <si>
    <t>Position</t>
  </si>
  <si>
    <t>Hourly Rate</t>
  </si>
  <si>
    <t>Notes</t>
  </si>
  <si>
    <t>Vacant</t>
  </si>
  <si>
    <t>Head of School</t>
  </si>
  <si>
    <t>Lancaster, Wesley</t>
  </si>
  <si>
    <t>Current Staffing Budget in Spreadsheet</t>
  </si>
  <si>
    <t>Contract Days</t>
  </si>
  <si>
    <t>180 st. contact + 5 PD days</t>
  </si>
  <si>
    <t>Expenditure Category</t>
  </si>
  <si>
    <t>FY22 YTD</t>
  </si>
  <si>
    <t>FY22 Forecast</t>
  </si>
  <si>
    <t>FY22 Adopted Budget</t>
  </si>
  <si>
    <t>FY23 Prop Budget Over/(under) FY22 Adop Bud</t>
  </si>
  <si>
    <t xml:space="preserve">Legal </t>
  </si>
  <si>
    <t>Fiduciary Services</t>
  </si>
  <si>
    <t>Financial Management</t>
  </si>
  <si>
    <t>Tech management services</t>
  </si>
  <si>
    <t>Website Maintenance</t>
  </si>
  <si>
    <t>Audit services/990 filing</t>
  </si>
  <si>
    <t>Contract SPED</t>
  </si>
  <si>
    <t>retiree PERA</t>
  </si>
  <si>
    <t>previously dant</t>
  </si>
  <si>
    <t>Fingerprint/Background Check Services</t>
  </si>
  <si>
    <t>Contract OT Dale</t>
  </si>
  <si>
    <t>Employee Recruitment</t>
  </si>
  <si>
    <t>Contract Speech Altman</t>
  </si>
  <si>
    <t>Contract Nurse Vallejo</t>
  </si>
  <si>
    <t>Purchased Services</t>
  </si>
  <si>
    <t>CSI 3% withholding</t>
  </si>
  <si>
    <t>CDE 1% withholding  (3months)</t>
  </si>
  <si>
    <t>Bank Service Charges</t>
  </si>
  <si>
    <t>Software Subscriptions/licenses</t>
  </si>
  <si>
    <t>ONE TIME Aptafund acctg system implementation services</t>
  </si>
  <si>
    <t>Aptafund acctg system annual software license</t>
  </si>
  <si>
    <t>Facilities Maintenance Services (floor cleaning, etc)</t>
  </si>
  <si>
    <t>Ops and Maintenance</t>
  </si>
  <si>
    <t>Janitorial</t>
  </si>
  <si>
    <t>Snow Removal</t>
  </si>
  <si>
    <t>Inspections</t>
  </si>
  <si>
    <t>Fire Alarm Monitoring</t>
  </si>
  <si>
    <t>Pest Control</t>
  </si>
  <si>
    <t>Other Services</t>
  </si>
  <si>
    <t>Trash</t>
  </si>
  <si>
    <t>Telephone/fax/internet</t>
  </si>
  <si>
    <t>Postage</t>
  </si>
  <si>
    <t>Office and Admin Supplies</t>
  </si>
  <si>
    <t>Texts and Curricula</t>
  </si>
  <si>
    <t>Instructional Supplies</t>
  </si>
  <si>
    <t>ESSER III Supplies</t>
  </si>
  <si>
    <t>Library Inventory</t>
  </si>
  <si>
    <t>Library Online Services</t>
  </si>
  <si>
    <t>NWEA</t>
  </si>
  <si>
    <t>Special Education Supplies/Curriculum</t>
  </si>
  <si>
    <t>Recess</t>
  </si>
  <si>
    <t>Other Evaluation Tools</t>
  </si>
  <si>
    <t>Music Supplies</t>
  </si>
  <si>
    <t>Art Supplies</t>
  </si>
  <si>
    <t>PE Supplies</t>
  </si>
  <si>
    <t>Counselor Supplies</t>
  </si>
  <si>
    <t xml:space="preserve">Nursing Supplies </t>
  </si>
  <si>
    <t>Building Maintenance</t>
  </si>
  <si>
    <t>Equipment Maintenance</t>
  </si>
  <si>
    <t>Grounds Maintenance</t>
  </si>
  <si>
    <t>Equipment Rental</t>
  </si>
  <si>
    <t>Vehicle Maintenance</t>
  </si>
  <si>
    <t>Vehicle Fuel</t>
  </si>
  <si>
    <t>Health and Safety</t>
  </si>
  <si>
    <t>Rental Property Maintenance</t>
  </si>
  <si>
    <t>Auditorium Lighting</t>
  </si>
  <si>
    <t>Janitorial Supplies</t>
  </si>
  <si>
    <t>Facilities Supplies</t>
  </si>
  <si>
    <t>Non-Capital Equipment</t>
  </si>
  <si>
    <t>Student Computer Refresh</t>
  </si>
  <si>
    <t>Staff Computer Refresh</t>
  </si>
  <si>
    <t>Other Tech Equipment</t>
  </si>
  <si>
    <t>Networking and Servers</t>
  </si>
  <si>
    <t>Furniture</t>
  </si>
  <si>
    <t>Capital Equipment</t>
  </si>
  <si>
    <t>Machinery</t>
  </si>
  <si>
    <t>Groundskeeping/Custodial Equipment</t>
  </si>
  <si>
    <t>Community Activites</t>
  </si>
  <si>
    <t>Board Development</t>
  </si>
  <si>
    <t>Administrative Development</t>
  </si>
  <si>
    <t>ONE TIME - Capital Projects</t>
  </si>
  <si>
    <t>Debt Service - Fees and Property Insurance</t>
  </si>
  <si>
    <t>Colorado Educational and Cultural Facilities Authority</t>
  </si>
  <si>
    <t>Charter School Revenue Bonds</t>
  </si>
  <si>
    <t>(Colorado Springs Charter Academy Project)</t>
  </si>
  <si>
    <t>Series 2010</t>
  </si>
  <si>
    <t>Intercept Payments made the 25th of the month previous to "Payment Due" Date</t>
  </si>
  <si>
    <t>Payment Due</t>
  </si>
  <si>
    <t>Principal Payment</t>
  </si>
  <si>
    <t>Interest
Payment</t>
  </si>
  <si>
    <t>Lease Payment
toward Principal</t>
  </si>
  <si>
    <t>Lease Payment
toward Interest</t>
  </si>
  <si>
    <t>Total Monthly Lease Payment</t>
  </si>
  <si>
    <t>Repair and Replacement Deposit</t>
  </si>
  <si>
    <t>Moral Obligation/Debt Service Reserve Fund Fee</t>
  </si>
  <si>
    <t>Total Intercept Payment</t>
  </si>
  <si>
    <t>Annual Debt Service</t>
  </si>
  <si>
    <t>Bond Principal Outstanding</t>
  </si>
  <si>
    <t>Paid directly by school to Trustee</t>
  </si>
  <si>
    <t>Paid directly to Trustee</t>
  </si>
  <si>
    <t>COLORADO SPRINGS CHARTER ACADEMY</t>
  </si>
  <si>
    <t>Transaction Report</t>
  </si>
  <si>
    <t>July 1, 2021 - June 17, 2022</t>
  </si>
  <si>
    <t>Date</t>
  </si>
  <si>
    <t>Transaction Type</t>
  </si>
  <si>
    <t>Num</t>
  </si>
  <si>
    <t>Name</t>
  </si>
  <si>
    <t>Memo/Description</t>
  </si>
  <si>
    <t>Account</t>
  </si>
  <si>
    <t>Split</t>
  </si>
  <si>
    <t>Amount</t>
  </si>
  <si>
    <t>Balance</t>
  </si>
  <si>
    <t>BUSINESS SERVICES</t>
  </si>
  <si>
    <t xml:space="preserve">   Supplies and Materials</t>
  </si>
  <si>
    <t xml:space="preserve">      Technology &amp; Equipment</t>
  </si>
  <si>
    <t xml:space="preserve">         Software &amp; Licenses</t>
  </si>
  <si>
    <t>07/19/2021</t>
  </si>
  <si>
    <t>Expense</t>
  </si>
  <si>
    <t>RainTech</t>
  </si>
  <si>
    <t>July Services</t>
  </si>
  <si>
    <t>2506230 BUSINESS SERVICES:Supplies and Materials:Technology &amp; Equipment:Software &amp; Licenses</t>
  </si>
  <si>
    <t>8101000 Cash and Investments:Cash in Vectra Bank</t>
  </si>
  <si>
    <t>Swiftreach</t>
  </si>
  <si>
    <t>SwiftK12 - FY22 - Invoice INV-35414</t>
  </si>
  <si>
    <t>07/22/2021</t>
  </si>
  <si>
    <t>Bankcard Center</t>
  </si>
  <si>
    <t>Zoom</t>
  </si>
  <si>
    <t>7411000 Vectra Bank Credit Card</t>
  </si>
  <si>
    <t>June - Zoom</t>
  </si>
  <si>
    <t>07/26/2021</t>
  </si>
  <si>
    <t>POWERSCHOOL</t>
  </si>
  <si>
    <t>Invoice 258274</t>
  </si>
  <si>
    <t>08/10/2021</t>
  </si>
  <si>
    <t>August Services</t>
  </si>
  <si>
    <t>08/18/2021</t>
  </si>
  <si>
    <t>IT Computing Services Inc</t>
  </si>
  <si>
    <t>WebClock - 8/14/2021 - Invoice 51814</t>
  </si>
  <si>
    <t>08/23/2021</t>
  </si>
  <si>
    <t>Adobe Pro DC</t>
  </si>
  <si>
    <t>08/24/2021</t>
  </si>
  <si>
    <t>Smartsheet</t>
  </si>
  <si>
    <t>Smartsheet - FY 22 - Invoice 478119</t>
  </si>
  <si>
    <t>08/27/2021</t>
  </si>
  <si>
    <t>09/02/2021</t>
  </si>
  <si>
    <t>Schoolhouse Driveline</t>
  </si>
  <si>
    <t>Driveline - 2021-2022 Invoice 1051</t>
  </si>
  <si>
    <t>09/20/2021</t>
  </si>
  <si>
    <t>WebClock - 9/14/2021 - Invoice 52143</t>
  </si>
  <si>
    <t>09/22/2021</t>
  </si>
  <si>
    <t>09/30/2021</t>
  </si>
  <si>
    <t>Intrado</t>
  </si>
  <si>
    <t>Invoice - 224754 - 9/20/21</t>
  </si>
  <si>
    <t>10/08/2021</t>
  </si>
  <si>
    <t>WebClock - 07/14/2021 - Invoice 51510</t>
  </si>
  <si>
    <t>10/20/2021</t>
  </si>
  <si>
    <t>WebClock - 10/14/2021 - Invoice 52487</t>
  </si>
  <si>
    <t>10/22/2021</t>
  </si>
  <si>
    <t>Zoom - Invoice INV110538671</t>
  </si>
  <si>
    <t>11/02/2021</t>
  </si>
  <si>
    <t>Marcia Brenner Associates</t>
  </si>
  <si>
    <t>PowerSchool Annual Support Plugin - Invoice INV-211817</t>
  </si>
  <si>
    <t>11/18/2021</t>
  </si>
  <si>
    <t>Webclock - Invoice 52764</t>
  </si>
  <si>
    <t>11/22/2021</t>
  </si>
  <si>
    <t>Zoom - October 2021</t>
  </si>
  <si>
    <t>12/17/2021</t>
  </si>
  <si>
    <t>Webclock - Invoice 53064</t>
  </si>
  <si>
    <t>12/22/2021</t>
  </si>
  <si>
    <t>Zoom - Invoice - INV120843502</t>
  </si>
  <si>
    <t>01/19/2022</t>
  </si>
  <si>
    <t>Webclock - Invoice 53353</t>
  </si>
  <si>
    <t>01/20/2022</t>
  </si>
  <si>
    <t>Credit Card Expense</t>
  </si>
  <si>
    <t>Vectra Bank Credit Card:Vectra CC - Laura</t>
  </si>
  <si>
    <t>02/01/2022</t>
  </si>
  <si>
    <t>02/17/2022</t>
  </si>
  <si>
    <t>Webclock - Invoice 53647</t>
  </si>
  <si>
    <t>03/02/2022</t>
  </si>
  <si>
    <t>03/14/2022</t>
  </si>
  <si>
    <t>Webclock - Invoice 53953</t>
  </si>
  <si>
    <t>03/15/2022</t>
  </si>
  <si>
    <t>Webclock - Invoice 52143 Reissue</t>
  </si>
  <si>
    <t>Webclock - Invoice 51510 Reissue</t>
  </si>
  <si>
    <t>GrantVantage</t>
  </si>
  <si>
    <t>GrantVantage User License - Invoice CSI2022-07</t>
  </si>
  <si>
    <t>04/02/2022</t>
  </si>
  <si>
    <t>04/21/2022</t>
  </si>
  <si>
    <t>Webclock - Invoice 54268</t>
  </si>
  <si>
    <t>05/01/2022</t>
  </si>
  <si>
    <t>05/18/2022</t>
  </si>
  <si>
    <t>Webclock May - Invoice 54568</t>
  </si>
  <si>
    <t>Vectra Bank Credit Card:Vectra CC - Zoe Ann</t>
  </si>
  <si>
    <t>05/25/2022</t>
  </si>
  <si>
    <t>Check</t>
  </si>
  <si>
    <t>May - Invoice 54568</t>
  </si>
  <si>
    <t xml:space="preserve">         Total for Software &amp; Licenses</t>
  </si>
  <si>
    <t xml:space="preserve">      Total for Technology &amp; Equipment</t>
  </si>
  <si>
    <t xml:space="preserve">   Total for Supplies and Materials</t>
  </si>
  <si>
    <t>Total for BUSINESS SERVICES</t>
  </si>
  <si>
    <t>TOTAL</t>
  </si>
  <si>
    <t>Friday, Jun 17, 2022 01:20:10 PM GMT-7 - Accrual Basis</t>
  </si>
  <si>
    <t>SUPPORTING SERVICES</t>
  </si>
  <si>
    <t xml:space="preserve">   Purchased Services</t>
  </si>
  <si>
    <t xml:space="preserve">      Computer Services (Raintech)</t>
  </si>
  <si>
    <t>09/01/2021</t>
  </si>
  <si>
    <t>Invoice 11718 - May</t>
  </si>
  <si>
    <t>2103010 SUPPORTING SERVICES:Purchased Services:Computer Services (Raintech)</t>
  </si>
  <si>
    <t>09/07/2021</t>
  </si>
  <si>
    <t>Invoice - 11960 - September Services</t>
  </si>
  <si>
    <t>Invoice - 12027 - October Services</t>
  </si>
  <si>
    <t>Invoice - 12102 - November Services</t>
  </si>
  <si>
    <t>12/01/2021</t>
  </si>
  <si>
    <t>Invoice - 12170 - December Services</t>
  </si>
  <si>
    <t>01/03/2022</t>
  </si>
  <si>
    <t>Invoice - 12234</t>
  </si>
  <si>
    <t>Password Reset Kristen - Invoice - 12209</t>
  </si>
  <si>
    <t>02/08/2022</t>
  </si>
  <si>
    <t>Invoice - 12209</t>
  </si>
  <si>
    <t>Laptop trouble shoot - Invoice - 12286</t>
  </si>
  <si>
    <t>March Service  - Invoice - 12375</t>
  </si>
  <si>
    <t>FRONTLINE PROTECTION</t>
  </si>
  <si>
    <t>Network alarm/phones/cameras for Tom and Mike's computers - Invoice 1841</t>
  </si>
  <si>
    <t>04/05/2022</t>
  </si>
  <si>
    <t>April (March?) Service  - Invoice - 12453</t>
  </si>
  <si>
    <t>Workstation fix  - Invoice - 12411</t>
  </si>
  <si>
    <t>05/10/2022</t>
  </si>
  <si>
    <t>May Services - Invoice - 12507</t>
  </si>
  <si>
    <t>Troubleshooting - Invoice - 12485</t>
  </si>
  <si>
    <t>Fixes and helping attorney - Invoice - 12552</t>
  </si>
  <si>
    <t xml:space="preserve">      Total for Computer Services (Raintech)</t>
  </si>
  <si>
    <t xml:space="preserve">   Total for Purchased Services</t>
  </si>
  <si>
    <t>Total for SUPPORTING SERVICES</t>
  </si>
  <si>
    <t>11 mos</t>
  </si>
  <si>
    <t>FY23</t>
  </si>
  <si>
    <t>Raintech</t>
  </si>
  <si>
    <t xml:space="preserve">This will go down to $6,800 FY23: $2,500 in July and Aug, and then decrease to the education plan with 20 users for $1,800 a year. </t>
  </si>
  <si>
    <t>Webclock</t>
  </si>
  <si>
    <t>Frontline Protection</t>
  </si>
  <si>
    <t>Powerschools</t>
  </si>
  <si>
    <t>Adobe</t>
  </si>
  <si>
    <t>Grant vantage</t>
  </si>
  <si>
    <t>** not to be assumed as revenue until award is granted…place hold for now - ss **</t>
  </si>
  <si>
    <t>FY 24-25 Budget</t>
  </si>
  <si>
    <t>Notes 2024-2025</t>
  </si>
  <si>
    <t>Incl:  Abacus, Quickbooks Online Fees</t>
  </si>
  <si>
    <t>Verified with Fy24</t>
  </si>
  <si>
    <t>From state sources tab FY25 ss</t>
  </si>
  <si>
    <t>Verified with FY24 actual</t>
  </si>
  <si>
    <t>verified with Fy 24</t>
  </si>
  <si>
    <t>Incl power school upgrade expected 23k one time fee - ss</t>
  </si>
  <si>
    <t>Verified small increase from Fy 24 ss</t>
  </si>
  <si>
    <t>Verified with Fy 24 ss</t>
  </si>
  <si>
    <t>Incl bill.com subscription fee</t>
  </si>
  <si>
    <t>Incl chrome book replacement Fy25 ss</t>
  </si>
  <si>
    <t>Looking to lower contract amount for Fy25, hold ss</t>
  </si>
  <si>
    <t>Verified with actual Fy24 ss</t>
  </si>
  <si>
    <t>Verified to lower a tad - ss</t>
  </si>
  <si>
    <t xml:space="preserve">Verified with actual Fy24 ss </t>
  </si>
  <si>
    <t>Projection for Fy24 around 80k - hold at 90 ss</t>
  </si>
  <si>
    <t>New math program for Fy25 - ss</t>
  </si>
  <si>
    <t>To be looked into for Fy 25 ss</t>
  </si>
  <si>
    <t>Trending around 45k Fy24 - ss</t>
  </si>
  <si>
    <t>Trending around 400 for Fy24 ss</t>
  </si>
  <si>
    <t>Based off of actual for Fy 24 - ss</t>
  </si>
  <si>
    <t>See above for Fy25 ss</t>
  </si>
  <si>
    <t>Verified with Fy24 actual ss</t>
  </si>
  <si>
    <t>Food? Looks to be around 15000.</t>
  </si>
  <si>
    <t>Based off of actual Fy24 ss</t>
  </si>
  <si>
    <t>Incl ice melt -ss</t>
  </si>
  <si>
    <t>Where does Insur (prop policy) running 45k</t>
  </si>
  <si>
    <t>Lower for Fy25 ss</t>
  </si>
  <si>
    <t xml:space="preserve">Work Comp - </t>
  </si>
  <si>
    <t>Fy24 - Network upgrade Flair Data ss</t>
  </si>
  <si>
    <t>Based off of actual Fy24 Jul-Feb ss</t>
  </si>
  <si>
    <t>Incl RainTech Fy24 ss</t>
  </si>
  <si>
    <t xml:space="preserve">Hold assuming from Fy24 ss </t>
  </si>
  <si>
    <t>Trending a bit higher Fy24 -ss</t>
  </si>
  <si>
    <t>FY 24-25 Proposed Budget</t>
  </si>
  <si>
    <t>Fy24 only used 8k Jul-Feb - ss</t>
  </si>
  <si>
    <t xml:space="preserve">Bazer, Gary  </t>
  </si>
  <si>
    <t>MS Teacher</t>
  </si>
  <si>
    <t>Dalton Aimee</t>
  </si>
  <si>
    <t xml:space="preserve">Darby, Anne  </t>
  </si>
  <si>
    <t>Elem Teacher</t>
  </si>
  <si>
    <t>Hack, Angela</t>
  </si>
  <si>
    <t>Hershman, Victoria</t>
  </si>
  <si>
    <t>Lewellen, Laura</t>
  </si>
  <si>
    <t>Liljekvist, Sharolyn</t>
  </si>
  <si>
    <t>Linhart, Hannah</t>
  </si>
  <si>
    <t>Nix, Sarah</t>
  </si>
  <si>
    <t xml:space="preserve">Rausch, Christina  </t>
  </si>
  <si>
    <t>Riley, Jessica</t>
  </si>
  <si>
    <t xml:space="preserve">Ross, Kristen  </t>
  </si>
  <si>
    <t xml:space="preserve">Sheppard, Bronwyn  </t>
  </si>
  <si>
    <t>Temple, Shawna</t>
  </si>
  <si>
    <t>Welsch, Cindy</t>
  </si>
  <si>
    <t xml:space="preserve">Williams, Lauren </t>
  </si>
  <si>
    <t>Barrentine, Braden</t>
  </si>
  <si>
    <t>Music Teacher</t>
  </si>
  <si>
    <t>Dearing, Steven</t>
  </si>
  <si>
    <t>Physical Education</t>
  </si>
  <si>
    <t>Moreno, Francisca</t>
  </si>
  <si>
    <t>Spanish Teacher</t>
  </si>
  <si>
    <t xml:space="preserve">Shrewsbury, Deanna  </t>
  </si>
  <si>
    <t>Art Teacher</t>
  </si>
  <si>
    <t xml:space="preserve">Larson, Shannon   </t>
  </si>
  <si>
    <t>Vanezuella, Jennifer</t>
  </si>
  <si>
    <t>Reading Intervention</t>
  </si>
  <si>
    <t>Warren, Catherine</t>
  </si>
  <si>
    <t>Math Intervention</t>
  </si>
  <si>
    <t>Behavioral Interventinst</t>
  </si>
  <si>
    <t>Campagna, Brendan</t>
  </si>
  <si>
    <t>Athletics</t>
  </si>
  <si>
    <t>Corbin, Megan</t>
  </si>
  <si>
    <t>Dalton, Julie</t>
  </si>
  <si>
    <t>D'Andrea, Elizabeth</t>
  </si>
  <si>
    <t>Joyce, Vanessa</t>
  </si>
  <si>
    <t>Smalberger, Scott</t>
  </si>
  <si>
    <t>Williams, Crystal</t>
  </si>
  <si>
    <t>Wintcher, Sandra</t>
  </si>
  <si>
    <t>SPED Coordinator</t>
  </si>
  <si>
    <t>Kachel, Deborah</t>
  </si>
  <si>
    <t>MS SPED</t>
  </si>
  <si>
    <t>Hall, Kathrina</t>
  </si>
  <si>
    <t>SPED Pera</t>
  </si>
  <si>
    <t>McDonald, Jordan</t>
  </si>
  <si>
    <t>SPED EA</t>
  </si>
  <si>
    <t>Kimball, Sandra</t>
  </si>
  <si>
    <t>Vering, Candace</t>
  </si>
  <si>
    <t>SLPA/SPED</t>
  </si>
  <si>
    <t>Kadlec, Wendy</t>
  </si>
  <si>
    <t>Health Assistant</t>
  </si>
  <si>
    <t>Crowley, Aaron</t>
  </si>
  <si>
    <t>School Psycologist</t>
  </si>
  <si>
    <t>Badeau, Hannah</t>
  </si>
  <si>
    <t>Social Worker</t>
  </si>
  <si>
    <t>Rafferty, Lisa</t>
  </si>
  <si>
    <t>ES Dean</t>
  </si>
  <si>
    <t>Holmes, Zoe Ann</t>
  </si>
  <si>
    <t>Miller, Kelly</t>
  </si>
  <si>
    <t>MS Dean</t>
  </si>
  <si>
    <t>Maintanance Technichian</t>
  </si>
  <si>
    <t>Davis, Amber</t>
  </si>
  <si>
    <t>Front Desk Receptionist</t>
  </si>
  <si>
    <t>Black, Deb</t>
  </si>
  <si>
    <t>Business Office Manager</t>
  </si>
  <si>
    <t>Dolley, Kevin</t>
  </si>
  <si>
    <t>IT/Data Accountability</t>
  </si>
  <si>
    <t>Lancaster, Leslie</t>
  </si>
  <si>
    <t>Admin Assistant</t>
  </si>
  <si>
    <t>Salary with Benefits</t>
  </si>
  <si>
    <t>FY 24 Employee Name</t>
  </si>
  <si>
    <t>FY 2023-24 Proposed FTE/Hours Per Day for hourly</t>
  </si>
  <si>
    <t>FY 2024-25 Proposed Salary 43 base</t>
  </si>
  <si>
    <t>10k stipened for athletics?</t>
  </si>
  <si>
    <t>Shier, Kathleen</t>
  </si>
  <si>
    <t>Thomas, JoAnne</t>
  </si>
  <si>
    <t>Librarian</t>
  </si>
  <si>
    <t>Blondin, Sheryl</t>
  </si>
  <si>
    <t>Educational Assistant</t>
  </si>
  <si>
    <t>Butler, Belinda</t>
  </si>
  <si>
    <t>rate check on?</t>
  </si>
  <si>
    <t>Altman, Jill</t>
  </si>
  <si>
    <t>Speech Pathologist</t>
  </si>
  <si>
    <t>Dale, Tammy</t>
  </si>
  <si>
    <t>Occupational Therapist</t>
  </si>
  <si>
    <t>Melendez, Ruth</t>
  </si>
  <si>
    <t>Elem SPED Teacher</t>
  </si>
  <si>
    <t>Valejos, Lien</t>
  </si>
  <si>
    <t>Nurse (oversight)</t>
  </si>
  <si>
    <t>Edit as of 3.11.24</t>
  </si>
  <si>
    <t>Edit as of 3.11.24 (avg hours by RC)</t>
  </si>
  <si>
    <t>Avg hours by RC</t>
  </si>
  <si>
    <t>Cost of Benefits alone  PERA and Medicare</t>
  </si>
  <si>
    <t>2024 - 2025 Proposed Budget Highlights</t>
  </si>
  <si>
    <t>State funding is projected to raise another 6%</t>
  </si>
  <si>
    <t>Projected enrollment is 362 students, which is what 23-24 fiscal year has been funded at.  This is a student average and not actual</t>
  </si>
  <si>
    <t>Teacher salaries include a raise for most teachers and making the base be $43,000</t>
  </si>
  <si>
    <t>Cost of Health</t>
  </si>
  <si>
    <t>holt, aligha (not filled currently)</t>
  </si>
  <si>
    <t>Best Grant Consultant / possible pay in Fy24 a portion 3.19.24</t>
  </si>
  <si>
    <t>BEST Grant Writer has been included at $40,000 for Fy25</t>
  </si>
  <si>
    <t xml:space="preserve">Federal Funding:  Grant award amounts reflected are from current year (FY24) actuals for placehold.   ESSER III will be 100% closed out as of June, 2024. </t>
  </si>
  <si>
    <t>Added as of 3.18.24 ss</t>
  </si>
  <si>
    <t>Using CDE Assumption 5% as of April 2, 2024 from CSI</t>
  </si>
  <si>
    <t xml:space="preserve">Based on the FY23 at-risk adjustment of 2.45% of PPR </t>
  </si>
  <si>
    <t>1% of PPR withheld for the first 3 mo only ss</t>
  </si>
  <si>
    <t>Enrollment Actual</t>
  </si>
  <si>
    <t>Title IA</t>
  </si>
  <si>
    <t>IDEA Part B</t>
  </si>
  <si>
    <t>Title I (Low Range)</t>
  </si>
  <si>
    <t>At Risk Per Pupil Addtl Funding</t>
  </si>
  <si>
    <t>Per State Statute</t>
  </si>
  <si>
    <t>State Sources -based on 337 Averaged PPR</t>
  </si>
  <si>
    <t>Grant Code:</t>
  </si>
  <si>
    <t>Grant Name:</t>
  </si>
  <si>
    <t>Notes:</t>
  </si>
  <si>
    <t>4010-L</t>
  </si>
  <si>
    <t>Edit as of 4.4.24 ss</t>
  </si>
  <si>
    <t>Staffing not returning in Fy25 , Placehold for amount ss</t>
  </si>
  <si>
    <t>CSI Admin Rebate</t>
  </si>
  <si>
    <t>Verified for Fy25 CSI as of April 11, 2027</t>
  </si>
  <si>
    <t>Title I</t>
  </si>
  <si>
    <t>Notes for FY24-25 Amended Budget</t>
  </si>
  <si>
    <t>FY 2024-25 Adopted Budget</t>
  </si>
  <si>
    <t>FY 2024-25 Amended Budget</t>
  </si>
  <si>
    <t xml:space="preserve">From CSI Funding Sheet / Nov 2024 </t>
  </si>
  <si>
    <t>FY 2024-25 Adopted Budget vs.  
FY 2023-24 Amended Budget</t>
  </si>
  <si>
    <t>From Audited Statements Fy23-24 ss</t>
  </si>
  <si>
    <t>Verificed as of Dec 31, 2024</t>
  </si>
  <si>
    <t>Verificed as of Dec 31, 2025</t>
  </si>
  <si>
    <t>Verificed as of Dec 31, 2026</t>
  </si>
  <si>
    <t>Verificed as of Dec 31, 2027</t>
  </si>
  <si>
    <t>Verificed as of Dec 31, 2028</t>
  </si>
  <si>
    <t>Universal Screening</t>
  </si>
  <si>
    <t>Verified from tab state sources</t>
  </si>
  <si>
    <t>Verified as of Dec 31, 2024</t>
  </si>
  <si>
    <t>Verified as of Dec 31, 2025</t>
  </si>
  <si>
    <t>Verified from tab federal sources</t>
  </si>
  <si>
    <t>Based on actual use as of Dec 2024</t>
  </si>
  <si>
    <t>Based on actual use as of Dec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</si>
</sst>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_);_(* \(#,##0.0\);_(* &quot;-&quot;??_);_(@_)"/>
    <numFmt numFmtId="167" formatCode="#,##0.00\ _€"/>
    <numFmt numFmtId="168" formatCode="&quot;$&quot;* #,##0.00\ _€"/>
    <numFmt numFmtId="169" formatCode="&quot;$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color rgb="FF000000"/>
      <name val="Calibri"/>
      <family val="2"/>
    </font>
    <font>
      <sz val="11"/>
      <color theme="0"/>
      <name val="Cambria"/>
      <family val="1"/>
    </font>
    <font>
      <i/>
      <sz val="11"/>
      <color theme="1"/>
      <name val="Cambria"/>
      <family val="1"/>
    </font>
    <font>
      <sz val="11"/>
      <color rgb="FF00B050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mbria"/>
      <family val="1"/>
    </font>
    <font>
      <i/>
      <sz val="9"/>
      <color theme="1"/>
      <name val="Cambria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wrapText="1"/>
    </xf>
    <xf numFmtId="43" fontId="1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5" fillId="0" borderId="0"/>
  </cellStyleXfs>
  <cellXfs count="2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7" xfId="1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8" xfId="1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44" fontId="0" fillId="0" borderId="0" xfId="1" applyFont="1"/>
    <xf numFmtId="44" fontId="0" fillId="0" borderId="0" xfId="0" applyNumberFormat="1"/>
    <xf numFmtId="0" fontId="2" fillId="0" borderId="0" xfId="0" applyFon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165" fontId="3" fillId="0" borderId="13" xfId="2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4" fillId="3" borderId="9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4" fillId="3" borderId="9" xfId="0" applyFont="1" applyFill="1" applyBorder="1" applyAlignment="1">
      <alignment horizontal="center" vertical="center" wrapText="1"/>
    </xf>
    <xf numFmtId="44" fontId="2" fillId="0" borderId="0" xfId="1" applyFont="1"/>
    <xf numFmtId="0" fontId="0" fillId="0" borderId="0" xfId="0" applyAlignment="1">
      <alignment horizontal="left" indent="1"/>
    </xf>
    <xf numFmtId="166" fontId="0" fillId="0" borderId="0" xfId="4" applyNumberFormat="1" applyFont="1"/>
    <xf numFmtId="14" fontId="0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/>
    <xf numFmtId="0" fontId="0" fillId="0" borderId="0" xfId="0" applyAlignment="1">
      <alignment horizontal="left" indent="2"/>
    </xf>
    <xf numFmtId="164" fontId="2" fillId="0" borderId="0" xfId="1" applyNumberFormat="1" applyFont="1"/>
    <xf numFmtId="164" fontId="0" fillId="0" borderId="0" xfId="1" applyNumberFormat="1" applyFont="1" applyFill="1"/>
    <xf numFmtId="0" fontId="2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4" fontId="0" fillId="0" borderId="0" xfId="1" applyFont="1" applyFill="1"/>
    <xf numFmtId="3" fontId="3" fillId="0" borderId="0" xfId="0" applyNumberFormat="1" applyFont="1" applyAlignment="1">
      <alignment horizontal="center" vertical="center" wrapText="1"/>
    </xf>
    <xf numFmtId="44" fontId="0" fillId="0" borderId="0" xfId="1" applyFont="1" applyAlignment="1"/>
    <xf numFmtId="10" fontId="0" fillId="0" borderId="0" xfId="2" applyNumberFormat="1" applyFont="1"/>
    <xf numFmtId="0" fontId="0" fillId="5" borderId="0" xfId="0" applyFill="1"/>
    <xf numFmtId="0" fontId="0" fillId="6" borderId="0" xfId="0" applyFill="1"/>
    <xf numFmtId="2" fontId="0" fillId="0" borderId="0" xfId="0" applyNumberFormat="1"/>
    <xf numFmtId="0" fontId="14" fillId="0" borderId="0" xfId="5"/>
    <xf numFmtId="0" fontId="14" fillId="8" borderId="0" xfId="5" applyFill="1"/>
    <xf numFmtId="0" fontId="14" fillId="0" borderId="31" xfId="5" applyBorder="1" applyAlignment="1">
      <alignment horizontal="center" wrapText="1"/>
    </xf>
    <xf numFmtId="0" fontId="14" fillId="9" borderId="31" xfId="5" applyFill="1" applyBorder="1" applyAlignment="1">
      <alignment horizontal="center" wrapText="1"/>
    </xf>
    <xf numFmtId="0" fontId="14" fillId="9" borderId="0" xfId="5" applyFill="1" applyAlignment="1">
      <alignment horizontal="center" wrapText="1"/>
    </xf>
    <xf numFmtId="14" fontId="14" fillId="10" borderId="0" xfId="5" applyNumberFormat="1" applyFill="1"/>
    <xf numFmtId="4" fontId="14" fillId="10" borderId="0" xfId="5" applyNumberFormat="1" applyFill="1"/>
    <xf numFmtId="0" fontId="14" fillId="10" borderId="0" xfId="5" applyFill="1"/>
    <xf numFmtId="44" fontId="0" fillId="10" borderId="0" xfId="6" applyFont="1" applyFill="1"/>
    <xf numFmtId="14" fontId="14" fillId="0" borderId="0" xfId="5" applyNumberFormat="1"/>
    <xf numFmtId="4" fontId="14" fillId="0" borderId="0" xfId="5" applyNumberFormat="1"/>
    <xf numFmtId="4" fontId="14" fillId="9" borderId="0" xfId="5" applyNumberFormat="1" applyFill="1"/>
    <xf numFmtId="44" fontId="0" fillId="0" borderId="0" xfId="6" applyFont="1"/>
    <xf numFmtId="43" fontId="14" fillId="0" borderId="0" xfId="5" applyNumberFormat="1"/>
    <xf numFmtId="14" fontId="14" fillId="11" borderId="0" xfId="5" applyNumberFormat="1" applyFill="1"/>
    <xf numFmtId="4" fontId="14" fillId="11" borderId="0" xfId="5" applyNumberFormat="1" applyFill="1"/>
    <xf numFmtId="44" fontId="0" fillId="11" borderId="0" xfId="6" applyFont="1" applyFill="1"/>
    <xf numFmtId="0" fontId="14" fillId="11" borderId="0" xfId="5" applyFill="1"/>
    <xf numFmtId="4" fontId="14" fillId="0" borderId="7" xfId="5" applyNumberFormat="1" applyBorder="1"/>
    <xf numFmtId="4" fontId="14" fillId="9" borderId="7" xfId="5" applyNumberFormat="1" applyFill="1" applyBorder="1"/>
    <xf numFmtId="44" fontId="0" fillId="6" borderId="0" xfId="1" applyFont="1" applyFill="1"/>
    <xf numFmtId="164" fontId="0" fillId="6" borderId="0" xfId="1" applyNumberFormat="1" applyFont="1" applyFill="1"/>
    <xf numFmtId="0" fontId="2" fillId="3" borderId="0" xfId="0" applyFont="1" applyFill="1" applyAlignment="1">
      <alignment wrapText="1"/>
    </xf>
    <xf numFmtId="164" fontId="2" fillId="3" borderId="0" xfId="1" applyNumberFormat="1" applyFont="1" applyFill="1" applyAlignment="1">
      <alignment wrapText="1"/>
    </xf>
    <xf numFmtId="0" fontId="2" fillId="3" borderId="32" xfId="0" applyFont="1" applyFill="1" applyBorder="1" applyAlignment="1">
      <alignment wrapText="1"/>
    </xf>
    <xf numFmtId="44" fontId="2" fillId="3" borderId="32" xfId="1" applyFont="1" applyFill="1" applyBorder="1" applyAlignment="1">
      <alignment wrapText="1"/>
    </xf>
    <xf numFmtId="0" fontId="2" fillId="0" borderId="32" xfId="0" applyFont="1" applyBorder="1" applyAlignment="1">
      <alignment horizontal="left" indent="1"/>
    </xf>
    <xf numFmtId="164" fontId="2" fillId="0" borderId="32" xfId="1" applyNumberFormat="1" applyFont="1" applyBorder="1"/>
    <xf numFmtId="44" fontId="2" fillId="0" borderId="32" xfId="1" applyFont="1" applyBorder="1"/>
    <xf numFmtId="0" fontId="0" fillId="0" borderId="32" xfId="0" applyBorder="1" applyAlignment="1">
      <alignment horizontal="left" indent="2"/>
    </xf>
    <xf numFmtId="44" fontId="0" fillId="0" borderId="32" xfId="1" applyFont="1" applyBorder="1"/>
    <xf numFmtId="164" fontId="0" fillId="0" borderId="32" xfId="1" applyNumberFormat="1" applyFont="1" applyFill="1" applyBorder="1"/>
    <xf numFmtId="44" fontId="0" fillId="0" borderId="32" xfId="1" applyFont="1" applyFill="1" applyBorder="1"/>
    <xf numFmtId="44" fontId="0" fillId="2" borderId="32" xfId="1" applyFont="1" applyFill="1" applyBorder="1"/>
    <xf numFmtId="14" fontId="14" fillId="7" borderId="0" xfId="5" applyNumberFormat="1" applyFill="1"/>
    <xf numFmtId="4" fontId="14" fillId="7" borderId="0" xfId="5" applyNumberFormat="1" applyFill="1"/>
    <xf numFmtId="44" fontId="0" fillId="7" borderId="0" xfId="6" applyFont="1" applyFill="1"/>
    <xf numFmtId="0" fontId="14" fillId="7" borderId="0" xfId="5" applyFill="1"/>
    <xf numFmtId="43" fontId="14" fillId="7" borderId="0" xfId="5" applyNumberFormat="1" applyFill="1"/>
    <xf numFmtId="0" fontId="15" fillId="0" borderId="0" xfId="7"/>
    <xf numFmtId="0" fontId="18" fillId="0" borderId="33" xfId="7" applyFont="1" applyBorder="1" applyAlignment="1">
      <alignment horizontal="center" wrapText="1"/>
    </xf>
    <xf numFmtId="0" fontId="19" fillId="0" borderId="0" xfId="7" applyFont="1" applyAlignment="1">
      <alignment horizontal="left" wrapText="1"/>
    </xf>
    <xf numFmtId="0" fontId="20" fillId="0" borderId="0" xfId="7" applyFont="1" applyAlignment="1">
      <alignment horizontal="left" wrapText="1"/>
    </xf>
    <xf numFmtId="167" fontId="20" fillId="0" borderId="0" xfId="7" applyNumberFormat="1" applyFont="1" applyAlignment="1">
      <alignment horizontal="right" wrapText="1"/>
    </xf>
    <xf numFmtId="168" fontId="19" fillId="0" borderId="13" xfId="7" applyNumberFormat="1" applyFont="1" applyBorder="1" applyAlignment="1">
      <alignment horizontal="right" wrapText="1"/>
    </xf>
    <xf numFmtId="0" fontId="15" fillId="2" borderId="0" xfId="7" applyFill="1"/>
    <xf numFmtId="0" fontId="20" fillId="2" borderId="0" xfId="7" applyFont="1" applyFill="1" applyAlignment="1">
      <alignment horizontal="left" wrapText="1"/>
    </xf>
    <xf numFmtId="167" fontId="20" fillId="2" borderId="0" xfId="7" applyNumberFormat="1" applyFont="1" applyFill="1" applyAlignment="1">
      <alignment horizontal="right" wrapText="1"/>
    </xf>
    <xf numFmtId="44" fontId="15" fillId="0" borderId="0" xfId="1" applyFont="1"/>
    <xf numFmtId="0" fontId="21" fillId="0" borderId="0" xfId="7" applyFont="1"/>
    <xf numFmtId="44" fontId="15" fillId="0" borderId="0" xfId="1" applyFont="1" applyFill="1"/>
    <xf numFmtId="44" fontId="15" fillId="0" borderId="0" xfId="7" applyNumberFormat="1"/>
    <xf numFmtId="0" fontId="4" fillId="2" borderId="10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6" fontId="0" fillId="0" borderId="0" xfId="1" applyNumberFormat="1" applyFont="1"/>
    <xf numFmtId="0" fontId="24" fillId="0" borderId="0" xfId="0" applyFont="1"/>
    <xf numFmtId="165" fontId="3" fillId="3" borderId="13" xfId="2" applyNumberFormat="1" applyFont="1" applyFill="1" applyBorder="1" applyAlignment="1">
      <alignment horizontal="center" vertical="top" wrapText="1"/>
    </xf>
    <xf numFmtId="1" fontId="3" fillId="3" borderId="4" xfId="0" applyNumberFormat="1" applyFont="1" applyFill="1" applyBorder="1" applyAlignment="1">
      <alignment horizontal="center" vertical="top" wrapText="1"/>
    </xf>
    <xf numFmtId="166" fontId="0" fillId="12" borderId="0" xfId="4" applyNumberFormat="1" applyFont="1" applyFill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0" fillId="2" borderId="0" xfId="0" applyFill="1" applyAlignment="1">
      <alignment wrapText="1"/>
    </xf>
    <xf numFmtId="164" fontId="2" fillId="0" borderId="32" xfId="1" applyNumberFormat="1" applyFont="1" applyFill="1" applyBorder="1"/>
    <xf numFmtId="164" fontId="1" fillId="0" borderId="32" xfId="1" applyNumberFormat="1" applyFont="1" applyFill="1" applyBorder="1"/>
    <xf numFmtId="164" fontId="2" fillId="0" borderId="32" xfId="0" applyNumberFormat="1" applyFont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0" fillId="0" borderId="32" xfId="0" applyBorder="1" applyAlignment="1">
      <alignment horizontal="left"/>
    </xf>
    <xf numFmtId="0" fontId="2" fillId="0" borderId="32" xfId="0" applyFont="1" applyBorder="1" applyAlignment="1">
      <alignment horizontal="left"/>
    </xf>
    <xf numFmtId="169" fontId="0" fillId="0" borderId="32" xfId="1" applyNumberFormat="1" applyFont="1" applyBorder="1" applyAlignment="1">
      <alignment horizontal="left"/>
    </xf>
    <xf numFmtId="169" fontId="0" fillId="0" borderId="32" xfId="0" applyNumberFormat="1" applyBorder="1" applyAlignment="1">
      <alignment horizontal="left"/>
    </xf>
    <xf numFmtId="0" fontId="0" fillId="0" borderId="32" xfId="0" applyBorder="1" applyAlignment="1">
      <alignment horizontal="left" wrapText="1"/>
    </xf>
    <xf numFmtId="44" fontId="0" fillId="0" borderId="32" xfId="1" applyFont="1" applyFill="1" applyBorder="1" applyAlignment="1">
      <alignment horizontal="left"/>
    </xf>
    <xf numFmtId="0" fontId="0" fillId="0" borderId="0" xfId="0" applyAlignment="1">
      <alignment horizontal="left"/>
    </xf>
    <xf numFmtId="164" fontId="2" fillId="13" borderId="32" xfId="1" applyNumberFormat="1" applyFont="1" applyFill="1" applyBorder="1"/>
    <xf numFmtId="0" fontId="24" fillId="3" borderId="32" xfId="0" applyFont="1" applyFill="1" applyBorder="1" applyAlignment="1">
      <alignment horizontal="center" vertical="center" wrapText="1"/>
    </xf>
    <xf numFmtId="0" fontId="2" fillId="13" borderId="3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0" fontId="0" fillId="0" borderId="17" xfId="0" applyBorder="1"/>
    <xf numFmtId="164" fontId="2" fillId="3" borderId="19" xfId="1" applyNumberFormat="1" applyFont="1" applyFill="1" applyBorder="1"/>
    <xf numFmtId="0" fontId="9" fillId="0" borderId="17" xfId="0" applyFont="1" applyBorder="1"/>
    <xf numFmtId="0" fontId="2" fillId="3" borderId="15" xfId="0" applyFont="1" applyFill="1" applyBorder="1" applyAlignment="1">
      <alignment horizontal="center" vertical="center" wrapText="1"/>
    </xf>
    <xf numFmtId="164" fontId="2" fillId="3" borderId="15" xfId="1" applyNumberFormat="1" applyFont="1" applyFill="1" applyBorder="1" applyAlignment="1">
      <alignment horizontal="center" vertical="center" wrapText="1"/>
    </xf>
    <xf numFmtId="164" fontId="0" fillId="0" borderId="17" xfId="1" applyNumberFormat="1" applyFont="1" applyFill="1" applyBorder="1"/>
    <xf numFmtId="44" fontId="0" fillId="0" borderId="17" xfId="1" applyFont="1" applyFill="1" applyBorder="1"/>
    <xf numFmtId="44" fontId="2" fillId="3" borderId="15" xfId="1" applyFont="1" applyFill="1" applyBorder="1" applyAlignment="1">
      <alignment horizontal="center" vertical="center" wrapText="1"/>
    </xf>
    <xf numFmtId="164" fontId="0" fillId="4" borderId="17" xfId="1" applyNumberFormat="1" applyFont="1" applyFill="1" applyBorder="1"/>
    <xf numFmtId="0" fontId="2" fillId="4" borderId="17" xfId="0" applyFont="1" applyFill="1" applyBorder="1" applyAlignment="1">
      <alignment horizontal="center" wrapText="1"/>
    </xf>
    <xf numFmtId="44" fontId="2" fillId="4" borderId="17" xfId="1" applyFont="1" applyFill="1" applyBorder="1" applyAlignment="1">
      <alignment horizontal="center" wrapText="1"/>
    </xf>
    <xf numFmtId="164" fontId="0" fillId="0" borderId="0" xfId="0" applyNumberFormat="1"/>
    <xf numFmtId="164" fontId="13" fillId="0" borderId="17" xfId="1" applyNumberFormat="1" applyFont="1" applyFill="1" applyBorder="1"/>
    <xf numFmtId="164" fontId="2" fillId="0" borderId="0" xfId="1" applyNumberFormat="1" applyFont="1" applyAlignment="1">
      <alignment horizontal="center" vertical="center" wrapText="1"/>
    </xf>
    <xf numFmtId="0" fontId="28" fillId="0" borderId="18" xfId="0" applyFont="1" applyBorder="1" applyAlignment="1">
      <alignment horizontal="left" wrapText="1"/>
    </xf>
    <xf numFmtId="164" fontId="28" fillId="0" borderId="18" xfId="0" applyNumberFormat="1" applyFont="1" applyBorder="1" applyAlignment="1">
      <alignment horizontal="left" wrapText="1"/>
    </xf>
    <xf numFmtId="0" fontId="27" fillId="4" borderId="17" xfId="0" applyFont="1" applyFill="1" applyBorder="1" applyAlignment="1">
      <alignment horizontal="left" wrapText="1"/>
    </xf>
    <xf numFmtId="0" fontId="28" fillId="0" borderId="0" xfId="0" applyFont="1" applyAlignment="1">
      <alignment horizontal="left"/>
    </xf>
    <xf numFmtId="0" fontId="27" fillId="3" borderId="16" xfId="0" applyFont="1" applyFill="1" applyBorder="1" applyAlignment="1">
      <alignment horizontal="center" vertical="center" wrapText="1"/>
    </xf>
    <xf numFmtId="164" fontId="0" fillId="14" borderId="29" xfId="1" applyNumberFormat="1" applyFont="1" applyFill="1" applyBorder="1"/>
    <xf numFmtId="0" fontId="0" fillId="14" borderId="29" xfId="0" applyFill="1" applyBorder="1"/>
    <xf numFmtId="44" fontId="0" fillId="14" borderId="29" xfId="1" applyFont="1" applyFill="1" applyBorder="1"/>
    <xf numFmtId="0" fontId="28" fillId="14" borderId="30" xfId="0" applyFont="1" applyFill="1" applyBorder="1" applyAlignment="1">
      <alignment horizontal="left" wrapText="1"/>
    </xf>
    <xf numFmtId="0" fontId="0" fillId="14" borderId="0" xfId="0" applyFill="1"/>
    <xf numFmtId="164" fontId="0" fillId="14" borderId="0" xfId="1" applyNumberFormat="1" applyFont="1" applyFill="1"/>
    <xf numFmtId="164" fontId="29" fillId="3" borderId="15" xfId="1" applyNumberFormat="1" applyFont="1" applyFill="1" applyBorder="1" applyAlignment="1">
      <alignment horizontal="center" vertical="center" wrapText="1"/>
    </xf>
    <xf numFmtId="164" fontId="13" fillId="14" borderId="29" xfId="1" applyNumberFormat="1" applyFont="1" applyFill="1" applyBorder="1"/>
    <xf numFmtId="164" fontId="13" fillId="0" borderId="17" xfId="1" applyNumberFormat="1" applyFont="1" applyBorder="1"/>
    <xf numFmtId="0" fontId="13" fillId="0" borderId="17" xfId="0" applyFont="1" applyBorder="1"/>
    <xf numFmtId="164" fontId="13" fillId="4" borderId="17" xfId="1" applyNumberFormat="1" applyFont="1" applyFill="1" applyBorder="1"/>
    <xf numFmtId="0" fontId="13" fillId="0" borderId="0" xfId="0" applyFont="1"/>
    <xf numFmtId="164" fontId="13" fillId="0" borderId="0" xfId="1" applyNumberFormat="1" applyFont="1"/>
    <xf numFmtId="164" fontId="13" fillId="15" borderId="17" xfId="1" applyNumberFormat="1" applyFont="1" applyFill="1" applyBorder="1"/>
    <xf numFmtId="0" fontId="13" fillId="15" borderId="17" xfId="0" applyFont="1" applyFill="1" applyBorder="1"/>
    <xf numFmtId="3" fontId="4" fillId="16" borderId="7" xfId="0" applyNumberFormat="1" applyFont="1" applyFill="1" applyBorder="1" applyAlignment="1">
      <alignment horizontal="right" vertical="center" wrapText="1"/>
    </xf>
    <xf numFmtId="164" fontId="0" fillId="0" borderId="17" xfId="1" applyNumberFormat="1" applyFont="1" applyBorder="1"/>
    <xf numFmtId="44" fontId="0" fillId="0" borderId="0" xfId="1" applyFont="1" applyAlignment="1">
      <alignment horizontal="center"/>
    </xf>
    <xf numFmtId="44" fontId="0" fillId="17" borderId="0" xfId="1" applyFont="1" applyFill="1"/>
    <xf numFmtId="6" fontId="0" fillId="17" borderId="0" xfId="1" applyNumberFormat="1" applyFont="1" applyFill="1"/>
    <xf numFmtId="0" fontId="0" fillId="0" borderId="0" xfId="1" applyNumberFormat="1" applyFont="1" applyFill="1" applyAlignment="1">
      <alignment horizontal="center"/>
    </xf>
    <xf numFmtId="164" fontId="13" fillId="7" borderId="17" xfId="1" applyNumberFormat="1" applyFont="1" applyFill="1" applyBorder="1"/>
    <xf numFmtId="0" fontId="13" fillId="7" borderId="17" xfId="0" applyFont="1" applyFill="1" applyBorder="1"/>
    <xf numFmtId="0" fontId="0" fillId="7" borderId="0" xfId="0" applyFill="1"/>
    <xf numFmtId="3" fontId="4" fillId="0" borderId="8" xfId="0" applyNumberFormat="1" applyFont="1" applyBorder="1" applyAlignment="1">
      <alignment horizontal="right" vertical="center" wrapText="1"/>
    </xf>
    <xf numFmtId="0" fontId="16" fillId="0" borderId="0" xfId="7" applyFont="1" applyAlignment="1">
      <alignment horizontal="center"/>
    </xf>
    <xf numFmtId="0" fontId="15" fillId="0" borderId="0" xfId="7"/>
    <xf numFmtId="0" fontId="17" fillId="0" borderId="0" xfId="7" applyFont="1" applyAlignment="1">
      <alignment horizontal="center"/>
    </xf>
    <xf numFmtId="0" fontId="20" fillId="0" borderId="0" xfId="7" applyFont="1" applyAlignment="1">
      <alignment horizontal="center"/>
    </xf>
    <xf numFmtId="3" fontId="3" fillId="13" borderId="0" xfId="0" applyNumberFormat="1" applyFont="1" applyFill="1" applyAlignment="1">
      <alignment horizontal="right" vertical="center" wrapText="1"/>
    </xf>
  </cellXfs>
  <cellStyles count="8">
    <cellStyle name="Comma" xfId="4" builtinId="3"/>
    <cellStyle name="Currency" xfId="1" builtinId="4"/>
    <cellStyle name="Currency 2" xfId="6" xr:uid="{7E9760D8-AC30-4AC4-ABB4-856ABF2A3CA1}"/>
    <cellStyle name="Normal" xfId="0" builtinId="0"/>
    <cellStyle name="Normal 2" xfId="3" xr:uid="{453EE20A-949A-489F-86F5-3556A0314EF7}"/>
    <cellStyle name="Normal 3" xfId="5" xr:uid="{37CFBCF1-6C8B-4651-AB6B-8F4EE23E8CD9}"/>
    <cellStyle name="Normal 4" xfId="7" xr:uid="{97D24F76-2258-4597-8B4F-1627D6080FF2}"/>
    <cellStyle name="Percent" xfId="2" builtinId="5"/>
  </cellStyles>
  <dxfs count="8">
    <dxf>
      <font>
        <color rgb="FFFF0000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c5e9d27c9e9edb6/Documents/Paragon/Clients/CSCA/FY%202021-22%20%20Financial%20Reports/FY22%20Forecast%200619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Profit and Loss by Month"/>
      <sheetName val="Bond Intercept Schedule"/>
    </sheetNames>
    <sheetDataSet>
      <sheetData sheetId="0"/>
      <sheetData sheetId="1">
        <row r="8">
          <cell r="Q8">
            <v>150</v>
          </cell>
        </row>
        <row r="9">
          <cell r="Q9">
            <v>1780</v>
          </cell>
        </row>
        <row r="10">
          <cell r="Q10">
            <v>7000</v>
          </cell>
        </row>
        <row r="13">
          <cell r="Q13">
            <v>27645.360000000001</v>
          </cell>
        </row>
        <row r="14">
          <cell r="Q14">
            <v>550</v>
          </cell>
        </row>
        <row r="15">
          <cell r="Q15">
            <v>1470.4</v>
          </cell>
        </row>
        <row r="16">
          <cell r="Q16">
            <v>25</v>
          </cell>
        </row>
        <row r="17">
          <cell r="Q17">
            <v>2085</v>
          </cell>
        </row>
        <row r="18">
          <cell r="Q18">
            <v>75</v>
          </cell>
        </row>
        <row r="19">
          <cell r="Q19">
            <v>1206</v>
          </cell>
        </row>
        <row r="20">
          <cell r="Q20">
            <v>0</v>
          </cell>
        </row>
        <row r="21">
          <cell r="Q21">
            <v>3450</v>
          </cell>
        </row>
        <row r="22">
          <cell r="Q22">
            <v>1022</v>
          </cell>
        </row>
        <row r="23">
          <cell r="Q23">
            <v>1978</v>
          </cell>
        </row>
        <row r="24">
          <cell r="Q24">
            <v>-7000</v>
          </cell>
        </row>
        <row r="25">
          <cell r="Q25">
            <v>240</v>
          </cell>
        </row>
        <row r="26">
          <cell r="Q26">
            <v>190</v>
          </cell>
        </row>
        <row r="27">
          <cell r="Q27">
            <v>1152.72</v>
          </cell>
        </row>
        <row r="28">
          <cell r="Q28">
            <v>6826.5</v>
          </cell>
        </row>
        <row r="29">
          <cell r="Q29">
            <v>-25</v>
          </cell>
        </row>
        <row r="30">
          <cell r="Q30">
            <v>602.92000000000007</v>
          </cell>
        </row>
        <row r="31">
          <cell r="Q31">
            <v>37093.07</v>
          </cell>
        </row>
        <row r="32">
          <cell r="Q32">
            <v>10.98</v>
          </cell>
        </row>
        <row r="35">
          <cell r="Q35">
            <v>12586.86</v>
          </cell>
        </row>
        <row r="36">
          <cell r="Q36">
            <v>183514.35</v>
          </cell>
        </row>
        <row r="37">
          <cell r="Q37">
            <v>46.289999999999992</v>
          </cell>
        </row>
        <row r="38">
          <cell r="Q38">
            <v>2535.5</v>
          </cell>
        </row>
        <row r="46">
          <cell r="Q46">
            <v>46412.399999999994</v>
          </cell>
        </row>
        <row r="53">
          <cell r="Q53">
            <v>3823102.07</v>
          </cell>
        </row>
        <row r="62">
          <cell r="Q62">
            <v>151228.78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manda Karger" id="{C92B76D5-2D81-43EE-9221-0227505CCFCB}" userId="4c5e9d27c9e9edb6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" dT="2022-06-17T19:21:46.07" personId="{C92B76D5-2D81-43EE-9221-0227505CCFCB}" id="{458632CC-1F57-49D9-B93F-9F85DFB4B142}">
    <text>5K for Paragon June, 5K for Wilklow May and June</text>
  </threadedComment>
  <threadedComment ref="F11" dT="2022-05-14T03:44:55.81" personId="{C92B76D5-2D81-43EE-9221-0227505CCFCB}" id="{128EBAB9-1CA1-4F3F-9D3A-00B06BEBDF75}">
    <text>3K was in "other" in FY22</text>
  </threadedComment>
  <threadedComment ref="F16" dT="2022-05-14T03:53:18.22" personId="{C92B76D5-2D81-43EE-9221-0227505CCFCB}" id="{C87C266B-F115-4B47-85FF-BBAD9A42D8BE}">
    <text>4K was in other</text>
  </threadedComment>
  <threadedComment ref="D46" dT="2022-06-17T20:08:51.13" personId="{C92B76D5-2D81-43EE-9221-0227505CCFCB}" id="{3BC3CC54-FCBF-41AB-85EA-57AF48A2584D}">
    <text>includes ongoing grant supplies.</text>
  </threadedComment>
  <threadedComment ref="D47" dT="2022-06-17T20:13:25.94" personId="{C92B76D5-2D81-43EE-9221-0227505CCFCB}" id="{1C661481-82B3-492B-836A-0D7ADABEFD85}">
    <text>Student Computers.</text>
  </threadedComment>
  <threadedComment ref="E59" dT="2022-06-17T19:42:51.24" personId="{C92B76D5-2D81-43EE-9221-0227505CCFCB}" id="{5CC6A494-C91F-4C74-AC0C-03EC273F4EBB}">
    <text>Assume 4K for both May and June</text>
  </threadedComment>
  <threadedComment ref="D73" dT="2022-06-17T19:51:00.88" personId="{C92B76D5-2D81-43EE-9221-0227505CCFCB}" id="{7D3F16D5-2C80-434A-8FFB-9C1F1C463CD5}">
    <text>11 new desktops. Not sure if this was for students or staff.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21021-3C60-424B-9477-4A76BA91431C}">
  <sheetPr>
    <tabColor theme="8"/>
    <pageSetUpPr fitToPage="1"/>
  </sheetPr>
  <dimension ref="A1:G53"/>
  <sheetViews>
    <sheetView tabSelected="1" topLeftCell="A34" zoomScaleNormal="115" zoomScalePageLayoutView="115" workbookViewId="0">
      <selection activeCell="E46" sqref="E46"/>
    </sheetView>
  </sheetViews>
  <sheetFormatPr defaultColWidth="9.140625" defaultRowHeight="14.25" x14ac:dyDescent="0.2"/>
  <cols>
    <col min="1" max="1" width="10.85546875" style="1" customWidth="1"/>
    <col min="2" max="2" width="39.5703125" style="1" customWidth="1"/>
    <col min="3" max="3" width="20.5703125" style="2" customWidth="1"/>
    <col min="4" max="4" width="20.5703125" style="2" hidden="1" customWidth="1"/>
    <col min="5" max="5" width="20.5703125" style="2" customWidth="1"/>
    <col min="6" max="6" width="24" style="2" customWidth="1"/>
    <col min="7" max="7" width="42.7109375" style="142" customWidth="1"/>
    <col min="8" max="16384" width="9.140625" style="1"/>
  </cols>
  <sheetData>
    <row r="1" spans="1:7" s="3" customFormat="1" ht="75.75" customHeight="1" x14ac:dyDescent="0.25">
      <c r="C1" s="53" t="s">
        <v>492</v>
      </c>
      <c r="D1" s="132" t="s">
        <v>0</v>
      </c>
      <c r="E1" s="43" t="s">
        <v>493</v>
      </c>
      <c r="F1" s="44" t="s">
        <v>495</v>
      </c>
      <c r="G1" s="44" t="s">
        <v>491</v>
      </c>
    </row>
    <row r="2" spans="1:7" s="3" customFormat="1" x14ac:dyDescent="0.25">
      <c r="C2" s="8"/>
      <c r="D2" s="9"/>
      <c r="E2" s="9"/>
      <c r="F2" s="10"/>
      <c r="G2" s="140"/>
    </row>
    <row r="3" spans="1:7" s="4" customFormat="1" ht="18" customHeight="1" x14ac:dyDescent="0.25">
      <c r="A3" s="4" t="s">
        <v>1</v>
      </c>
      <c r="C3" s="5">
        <v>2595625</v>
      </c>
      <c r="D3" s="6">
        <v>2753539</v>
      </c>
      <c r="E3" s="6">
        <v>2251705</v>
      </c>
      <c r="F3" s="7">
        <f>E3-C3</f>
        <v>-343920</v>
      </c>
      <c r="G3" s="141" t="s">
        <v>496</v>
      </c>
    </row>
    <row r="4" spans="1:7" s="4" customFormat="1" x14ac:dyDescent="0.25">
      <c r="C4" s="8"/>
      <c r="D4" s="9"/>
      <c r="E4" s="9"/>
      <c r="F4" s="10"/>
      <c r="G4" s="141"/>
    </row>
    <row r="5" spans="1:7" s="12" customFormat="1" ht="18" customHeight="1" x14ac:dyDescent="0.25">
      <c r="A5" s="11" t="s">
        <v>2</v>
      </c>
      <c r="C5" s="13"/>
      <c r="D5" s="14"/>
      <c r="E5" s="14"/>
      <c r="F5" s="15"/>
      <c r="G5" s="143"/>
    </row>
    <row r="6" spans="1:7" s="17" customFormat="1" ht="18" customHeight="1" x14ac:dyDescent="0.25">
      <c r="A6" s="16"/>
      <c r="B6" s="17" t="s">
        <v>3</v>
      </c>
      <c r="C6" s="26"/>
      <c r="D6" s="27"/>
      <c r="E6" s="27"/>
      <c r="F6" s="28"/>
      <c r="G6" s="141"/>
    </row>
    <row r="7" spans="1:7" s="17" customFormat="1" ht="18" customHeight="1" x14ac:dyDescent="0.25">
      <c r="A7" s="16"/>
      <c r="B7" s="38" t="s">
        <v>4</v>
      </c>
      <c r="C7" s="26">
        <v>0</v>
      </c>
      <c r="D7" s="27">
        <v>0</v>
      </c>
      <c r="E7" s="27">
        <v>0</v>
      </c>
      <c r="F7" s="28">
        <f>C7-E7</f>
        <v>0</v>
      </c>
      <c r="G7" s="141"/>
    </row>
    <row r="8" spans="1:7" s="17" customFormat="1" ht="18" customHeight="1" x14ac:dyDescent="0.25">
      <c r="A8" s="16"/>
      <c r="B8" s="38" t="s">
        <v>481</v>
      </c>
      <c r="C8" s="26">
        <v>5083729.7659399994</v>
      </c>
      <c r="D8" s="27">
        <f>'[1]Profit and Loss by Month'!$Q$53-'[1]Profit and Loss by Month'!$Q$46+'[1]Profit and Loss by Month'!$Q$36</f>
        <v>3960204.02</v>
      </c>
      <c r="E8" s="27">
        <f>'State Sources'!B4</f>
        <v>5184600.5837758202</v>
      </c>
      <c r="F8" s="28">
        <f t="shared" ref="F8:F19" si="0">C8-E8</f>
        <v>-100870.81783582084</v>
      </c>
      <c r="G8" s="141" t="s">
        <v>503</v>
      </c>
    </row>
    <row r="9" spans="1:7" s="17" customFormat="1" ht="18" customHeight="1" x14ac:dyDescent="0.25">
      <c r="A9" s="16"/>
      <c r="B9" s="38" t="s">
        <v>5</v>
      </c>
      <c r="C9" s="26">
        <v>170514.86</v>
      </c>
      <c r="D9" s="27">
        <f>'[1]Profit and Loss by Month'!$Q$46+'[1]Profit and Loss by Month'!$Q$62</f>
        <v>197641.18</v>
      </c>
      <c r="E9" s="27">
        <f>'Federal Sources'!B9</f>
        <v>172839.5</v>
      </c>
      <c r="F9" s="28">
        <f t="shared" si="0"/>
        <v>-2324.640000000014</v>
      </c>
      <c r="G9" s="141" t="s">
        <v>506</v>
      </c>
    </row>
    <row r="10" spans="1:7" s="17" customFormat="1" ht="18" customHeight="1" x14ac:dyDescent="0.25">
      <c r="A10" s="16"/>
      <c r="B10" s="17" t="s">
        <v>6</v>
      </c>
      <c r="C10" s="26"/>
      <c r="D10" s="27"/>
      <c r="E10" s="27"/>
      <c r="F10" s="28">
        <f t="shared" si="0"/>
        <v>0</v>
      </c>
      <c r="G10" s="141"/>
    </row>
    <row r="11" spans="1:7" s="17" customFormat="1" ht="18" customHeight="1" x14ac:dyDescent="0.25">
      <c r="A11" s="16"/>
      <c r="B11" s="38" t="s">
        <v>7</v>
      </c>
      <c r="C11" s="26">
        <v>1500</v>
      </c>
      <c r="D11" s="27">
        <v>0</v>
      </c>
      <c r="E11" s="27">
        <v>1500</v>
      </c>
      <c r="F11" s="28">
        <f t="shared" si="0"/>
        <v>0</v>
      </c>
      <c r="G11" s="141"/>
    </row>
    <row r="12" spans="1:7" s="17" customFormat="1" ht="18" customHeight="1" x14ac:dyDescent="0.25">
      <c r="A12" s="16"/>
      <c r="B12" s="38" t="s">
        <v>8</v>
      </c>
      <c r="C12" s="26">
        <v>18000</v>
      </c>
      <c r="D12" s="27"/>
      <c r="E12" s="27">
        <v>18000</v>
      </c>
      <c r="F12" s="28">
        <f t="shared" si="0"/>
        <v>0</v>
      </c>
      <c r="G12" s="141"/>
    </row>
    <row r="13" spans="1:7" s="17" customFormat="1" ht="18" customHeight="1" x14ac:dyDescent="0.25">
      <c r="A13" s="16"/>
      <c r="B13" s="17" t="s">
        <v>9</v>
      </c>
      <c r="C13" s="26">
        <v>5000</v>
      </c>
      <c r="D13" s="27">
        <f>'[1]Profit and Loss by Month'!$Q$13</f>
        <v>27645.360000000001</v>
      </c>
      <c r="E13" s="27">
        <v>5000</v>
      </c>
      <c r="F13" s="28">
        <f t="shared" si="0"/>
        <v>0</v>
      </c>
      <c r="G13" s="141"/>
    </row>
    <row r="14" spans="1:7" s="17" customFormat="1" ht="18" customHeight="1" x14ac:dyDescent="0.25">
      <c r="A14" s="16"/>
      <c r="B14" s="17" t="s">
        <v>10</v>
      </c>
      <c r="C14" s="26">
        <v>1500</v>
      </c>
      <c r="D14" s="27">
        <f>'[1]Profit and Loss by Month'!$Q$30</f>
        <v>602.92000000000007</v>
      </c>
      <c r="E14" s="27">
        <v>1500</v>
      </c>
      <c r="F14" s="28">
        <f t="shared" si="0"/>
        <v>0</v>
      </c>
      <c r="G14" s="141"/>
    </row>
    <row r="15" spans="1:7" s="17" customFormat="1" ht="18" customHeight="1" x14ac:dyDescent="0.25">
      <c r="A15" s="16"/>
      <c r="B15" s="17" t="s">
        <v>11</v>
      </c>
      <c r="C15" s="26">
        <v>2500</v>
      </c>
      <c r="D15" s="27">
        <f>'[1]Profit and Loss by Month'!$Q$9+'[1]Profit and Loss by Month'!$Q$8</f>
        <v>1930</v>
      </c>
      <c r="E15" s="27">
        <v>2500</v>
      </c>
      <c r="F15" s="28">
        <f t="shared" si="0"/>
        <v>0</v>
      </c>
      <c r="G15" s="141"/>
    </row>
    <row r="16" spans="1:7" s="17" customFormat="1" ht="18" customHeight="1" x14ac:dyDescent="0.25">
      <c r="A16" s="16"/>
      <c r="B16" s="17" t="s">
        <v>12</v>
      </c>
      <c r="C16" s="26">
        <v>15000</v>
      </c>
      <c r="D16" s="27">
        <f>SUM('[1]Profit and Loss by Month'!$Q$14:$Q$29)+'[1]Profit and Loss by Month'!$Q$10</f>
        <v>20245.62</v>
      </c>
      <c r="E16" s="27">
        <v>15000</v>
      </c>
      <c r="F16" s="28">
        <f t="shared" si="0"/>
        <v>0</v>
      </c>
      <c r="G16" s="141"/>
    </row>
    <row r="17" spans="1:7" s="17" customFormat="1" ht="18" customHeight="1" x14ac:dyDescent="0.25">
      <c r="A17" s="16"/>
      <c r="B17" s="17" t="s">
        <v>13</v>
      </c>
      <c r="C17" s="26">
        <v>8000</v>
      </c>
      <c r="D17" s="27">
        <f>SUM('[1]Profit and Loss by Month'!$Q$31:$Q$32)+'[1]Profit and Loss by Month'!$Q$35+'[1]Profit and Loss by Month'!$Q$38</f>
        <v>52226.41</v>
      </c>
      <c r="E17" s="27">
        <v>8000</v>
      </c>
      <c r="F17" s="28">
        <f t="shared" si="0"/>
        <v>0</v>
      </c>
      <c r="G17" s="141"/>
    </row>
    <row r="18" spans="1:7" s="17" customFormat="1" ht="18" customHeight="1" x14ac:dyDescent="0.25">
      <c r="A18" s="16"/>
      <c r="B18" s="17" t="s">
        <v>14</v>
      </c>
      <c r="C18" s="26">
        <v>12000</v>
      </c>
      <c r="D18" s="27">
        <f>'[1]Profit and Loss by Month'!$Q$37</f>
        <v>46.289999999999992</v>
      </c>
      <c r="E18" s="27">
        <v>12000</v>
      </c>
      <c r="F18" s="28">
        <f t="shared" si="0"/>
        <v>0</v>
      </c>
      <c r="G18" s="141"/>
    </row>
    <row r="19" spans="1:7" s="12" customFormat="1" ht="18" customHeight="1" thickBot="1" x14ac:dyDescent="0.3">
      <c r="A19" s="11" t="s">
        <v>15</v>
      </c>
      <c r="C19" s="22">
        <v>5317744.6259399997</v>
      </c>
      <c r="D19" s="23">
        <f>SUM(D6:D18)</f>
        <v>4260541.8</v>
      </c>
      <c r="E19" s="23">
        <f>SUM(E6:E18)</f>
        <v>5420940.0837758202</v>
      </c>
      <c r="F19" s="204">
        <f t="shared" si="0"/>
        <v>-103195.4578358205</v>
      </c>
      <c r="G19" s="143"/>
    </row>
    <row r="20" spans="1:7" s="17" customFormat="1" ht="12" customHeight="1" x14ac:dyDescent="0.25">
      <c r="A20" s="16"/>
      <c r="C20" s="18"/>
      <c r="D20" s="19"/>
      <c r="E20" s="19"/>
      <c r="F20" s="20"/>
      <c r="G20" s="141"/>
    </row>
    <row r="21" spans="1:7" s="12" customFormat="1" ht="18" customHeight="1" x14ac:dyDescent="0.25">
      <c r="A21" s="11" t="s">
        <v>16</v>
      </c>
      <c r="C21" s="13"/>
      <c r="D21" s="14"/>
      <c r="E21" s="14"/>
      <c r="F21" s="15"/>
      <c r="G21" s="143"/>
    </row>
    <row r="22" spans="1:7" s="17" customFormat="1" ht="18" customHeight="1" x14ac:dyDescent="0.25">
      <c r="A22" s="16"/>
      <c r="B22" s="17" t="s">
        <v>17</v>
      </c>
      <c r="C22" s="26">
        <v>2135526.1000000006</v>
      </c>
      <c r="D22" s="27">
        <v>2114147.2049999996</v>
      </c>
      <c r="E22" s="209">
        <f>2272385.6+75375-375</f>
        <v>2347385.6</v>
      </c>
      <c r="F22" s="28">
        <f t="shared" ref="F22:F37" si="1">C22-E22</f>
        <v>-211859.49999999953</v>
      </c>
      <c r="G22" s="141" t="s">
        <v>507</v>
      </c>
    </row>
    <row r="23" spans="1:7" s="17" customFormat="1" ht="18" customHeight="1" x14ac:dyDescent="0.25">
      <c r="A23" s="16"/>
      <c r="B23" s="17" t="s">
        <v>18</v>
      </c>
      <c r="C23" s="26">
        <v>497310.7030000001</v>
      </c>
      <c r="D23" s="27">
        <v>635515.71</v>
      </c>
      <c r="E23" s="209">
        <f>618463</f>
        <v>618463</v>
      </c>
      <c r="F23" s="28">
        <f t="shared" si="1"/>
        <v>-121152.2969999999</v>
      </c>
      <c r="G23" s="141" t="s">
        <v>508</v>
      </c>
    </row>
    <row r="24" spans="1:7" s="17" customFormat="1" ht="18" customHeight="1" x14ac:dyDescent="0.25">
      <c r="A24" s="16"/>
      <c r="B24" s="17" t="s">
        <v>19</v>
      </c>
      <c r="C24" s="26">
        <v>470015</v>
      </c>
      <c r="D24" s="27">
        <v>495152.8</v>
      </c>
      <c r="E24" s="27">
        <f>'Operating Expenditures'!B2+'Operating Expenditures'!B13-E25</f>
        <v>477671.8304184</v>
      </c>
      <c r="F24" s="28">
        <f t="shared" si="1"/>
        <v>-7656.8304184000008</v>
      </c>
      <c r="G24" s="141"/>
    </row>
    <row r="25" spans="1:7" s="17" customFormat="1" ht="18" customHeight="1" x14ac:dyDescent="0.25">
      <c r="A25" s="16"/>
      <c r="B25" s="17" t="s">
        <v>20</v>
      </c>
      <c r="C25" s="26">
        <v>119277.98279999998</v>
      </c>
      <c r="D25" s="27">
        <v>113600.99000000002</v>
      </c>
      <c r="E25" s="27">
        <v>114716</v>
      </c>
      <c r="F25" s="28">
        <f t="shared" si="1"/>
        <v>4561.9827999999834</v>
      </c>
      <c r="G25" s="141" t="s">
        <v>494</v>
      </c>
    </row>
    <row r="26" spans="1:7" s="17" customFormat="1" ht="18" customHeight="1" x14ac:dyDescent="0.25">
      <c r="A26" s="16"/>
      <c r="B26" s="17" t="s">
        <v>21</v>
      </c>
      <c r="C26" s="26">
        <v>100000</v>
      </c>
      <c r="D26" s="27">
        <v>94854.399999999994</v>
      </c>
      <c r="E26" s="27">
        <f>'Operating Expenditures'!B29</f>
        <v>100000</v>
      </c>
      <c r="F26" s="28">
        <f t="shared" si="1"/>
        <v>0</v>
      </c>
      <c r="G26" s="141"/>
    </row>
    <row r="27" spans="1:7" s="17" customFormat="1" ht="18" customHeight="1" x14ac:dyDescent="0.25">
      <c r="A27" s="16"/>
      <c r="B27" s="17" t="s">
        <v>22</v>
      </c>
      <c r="C27" s="26">
        <v>29400</v>
      </c>
      <c r="D27" s="27">
        <v>16426.14</v>
      </c>
      <c r="E27" s="27">
        <f>'Operating Expenditures'!B33</f>
        <v>29400</v>
      </c>
      <c r="F27" s="28">
        <f t="shared" si="1"/>
        <v>0</v>
      </c>
      <c r="G27" s="141"/>
    </row>
    <row r="28" spans="1:7" s="17" customFormat="1" ht="18" customHeight="1" x14ac:dyDescent="0.25">
      <c r="A28" s="16"/>
      <c r="B28" s="17" t="s">
        <v>23</v>
      </c>
      <c r="C28" s="26">
        <v>35000</v>
      </c>
      <c r="D28" s="27">
        <v>45743.68</v>
      </c>
      <c r="E28" s="27">
        <f>'Operating Expenditures'!B39</f>
        <v>35000</v>
      </c>
      <c r="F28" s="28">
        <f t="shared" si="1"/>
        <v>0</v>
      </c>
      <c r="G28" s="141"/>
    </row>
    <row r="29" spans="1:7" s="17" customFormat="1" ht="18" customHeight="1" x14ac:dyDescent="0.25">
      <c r="A29" s="16"/>
      <c r="B29" s="17" t="s">
        <v>24</v>
      </c>
      <c r="C29" s="26">
        <v>60000</v>
      </c>
      <c r="D29" s="27">
        <v>63640.409999999996</v>
      </c>
      <c r="E29" s="27">
        <f>'Operating Expenditures'!B41</f>
        <v>60000</v>
      </c>
      <c r="F29" s="28">
        <f t="shared" si="1"/>
        <v>0</v>
      </c>
      <c r="G29" s="141"/>
    </row>
    <row r="30" spans="1:7" s="17" customFormat="1" ht="18" customHeight="1" x14ac:dyDescent="0.25">
      <c r="A30" s="16"/>
      <c r="B30" s="17" t="s">
        <v>25</v>
      </c>
      <c r="C30" s="26">
        <v>413150</v>
      </c>
      <c r="D30" s="27">
        <v>240856.36000000002</v>
      </c>
      <c r="E30" s="27">
        <f>'Operating Expenditures'!B43+'Operating Expenditures'!B71</f>
        <v>413150</v>
      </c>
      <c r="F30" s="28">
        <f t="shared" si="1"/>
        <v>0</v>
      </c>
      <c r="G30" s="141"/>
    </row>
    <row r="31" spans="1:7" s="17" customFormat="1" ht="18" customHeight="1" x14ac:dyDescent="0.25">
      <c r="A31" s="16"/>
      <c r="B31" s="17" t="s">
        <v>26</v>
      </c>
      <c r="C31" s="26">
        <v>80000</v>
      </c>
      <c r="D31" s="27">
        <v>299620.88</v>
      </c>
      <c r="E31" s="27">
        <f>'Operating Expenditures'!B90</f>
        <v>80000</v>
      </c>
      <c r="F31" s="28">
        <f t="shared" si="1"/>
        <v>0</v>
      </c>
      <c r="G31" s="141"/>
    </row>
    <row r="32" spans="1:7" s="17" customFormat="1" ht="18" customHeight="1" x14ac:dyDescent="0.25">
      <c r="A32" s="16"/>
      <c r="B32" s="17" t="s">
        <v>27</v>
      </c>
      <c r="C32" s="26">
        <v>37300</v>
      </c>
      <c r="D32" s="27">
        <v>32155.840000000004</v>
      </c>
      <c r="E32" s="27">
        <f>'Operating Expenditures'!B82</f>
        <v>37300</v>
      </c>
      <c r="F32" s="28">
        <f t="shared" si="1"/>
        <v>0</v>
      </c>
      <c r="G32" s="141"/>
    </row>
    <row r="33" spans="1:7" s="17" customFormat="1" ht="18" customHeight="1" x14ac:dyDescent="0.25">
      <c r="A33" s="16"/>
      <c r="B33" s="17" t="s">
        <v>28</v>
      </c>
      <c r="C33" s="26">
        <v>7500</v>
      </c>
      <c r="D33" s="27">
        <v>2124.25</v>
      </c>
      <c r="E33" s="27">
        <v>12000</v>
      </c>
      <c r="F33" s="28">
        <f t="shared" si="1"/>
        <v>-4500</v>
      </c>
      <c r="G33" s="141" t="s">
        <v>507</v>
      </c>
    </row>
    <row r="34" spans="1:7" s="17" customFormat="1" ht="18" customHeight="1" x14ac:dyDescent="0.25">
      <c r="A34" s="16"/>
      <c r="B34" s="17" t="s">
        <v>29</v>
      </c>
      <c r="C34" s="26">
        <v>510308</v>
      </c>
      <c r="D34" s="27">
        <v>504719.79166666663</v>
      </c>
      <c r="E34" s="27">
        <v>509340</v>
      </c>
      <c r="F34" s="28">
        <f t="shared" si="1"/>
        <v>968</v>
      </c>
      <c r="G34" s="141" t="s">
        <v>494</v>
      </c>
    </row>
    <row r="35" spans="1:7" s="17" customFormat="1" ht="18" customHeight="1" x14ac:dyDescent="0.25">
      <c r="A35" s="16"/>
      <c r="B35" s="17" t="s">
        <v>30</v>
      </c>
      <c r="C35" s="26">
        <v>44329</v>
      </c>
      <c r="D35" s="27">
        <v>5850</v>
      </c>
      <c r="E35" s="27">
        <f>'Operating Expenditures'!B95</f>
        <v>44329</v>
      </c>
      <c r="F35" s="28">
        <f t="shared" si="1"/>
        <v>0</v>
      </c>
      <c r="G35" s="141"/>
    </row>
    <row r="36" spans="1:7" s="17" customFormat="1" ht="18" customHeight="1" x14ac:dyDescent="0.25">
      <c r="A36" s="16"/>
      <c r="B36" s="17" t="s">
        <v>31</v>
      </c>
      <c r="C36" s="26">
        <v>22695.583929000004</v>
      </c>
      <c r="D36" s="27">
        <v>15000</v>
      </c>
      <c r="E36" s="27">
        <f>SUM(E22:E35)*0.005</f>
        <v>24393.777152092</v>
      </c>
      <c r="F36" s="28">
        <f t="shared" si="1"/>
        <v>-1698.1932230919956</v>
      </c>
      <c r="G36" s="141"/>
    </row>
    <row r="37" spans="1:7" s="17" customFormat="1" ht="18" customHeight="1" thickBot="1" x14ac:dyDescent="0.3">
      <c r="A37" s="11" t="s">
        <v>32</v>
      </c>
      <c r="B37" s="12"/>
      <c r="C37" s="22">
        <v>4561812.3697290011</v>
      </c>
      <c r="D37" s="23">
        <f>SUM(D22:D36)</f>
        <v>4679408.4566666661</v>
      </c>
      <c r="E37" s="24">
        <f>SUM(E22:E36)</f>
        <v>4903149.2075704923</v>
      </c>
      <c r="F37" s="204">
        <f t="shared" si="1"/>
        <v>-341336.83784149121</v>
      </c>
      <c r="G37" s="144"/>
    </row>
    <row r="38" spans="1:7" s="12" customFormat="1" ht="18" customHeight="1" x14ac:dyDescent="0.25">
      <c r="A38" s="16"/>
      <c r="B38" s="17"/>
      <c r="C38" s="18"/>
      <c r="D38" s="19"/>
      <c r="E38" s="19"/>
      <c r="F38" s="20"/>
      <c r="G38" s="141"/>
    </row>
    <row r="39" spans="1:7" s="17" customFormat="1" ht="17.25" customHeight="1" thickBot="1" x14ac:dyDescent="0.3">
      <c r="A39" s="11" t="s">
        <v>33</v>
      </c>
      <c r="B39" s="12"/>
      <c r="C39" s="22">
        <v>755932.25621099863</v>
      </c>
      <c r="D39" s="23">
        <f>D19-D37</f>
        <v>-418866.65666666627</v>
      </c>
      <c r="E39" s="195">
        <f>E19-E37</f>
        <v>517790.87620532792</v>
      </c>
      <c r="F39" s="25">
        <f>E39-C39</f>
        <v>-238141.38000567071</v>
      </c>
      <c r="G39" s="143"/>
    </row>
    <row r="40" spans="1:7" s="12" customFormat="1" ht="18" customHeight="1" x14ac:dyDescent="0.25">
      <c r="A40" s="17"/>
      <c r="B40" s="17"/>
      <c r="C40" s="18"/>
      <c r="D40" s="74"/>
      <c r="E40" s="27"/>
      <c r="F40" s="28"/>
      <c r="G40" s="141"/>
    </row>
    <row r="41" spans="1:7" s="17" customFormat="1" ht="18" customHeight="1" x14ac:dyDescent="0.25">
      <c r="A41" s="4" t="s">
        <v>34</v>
      </c>
      <c r="B41" s="12"/>
      <c r="C41" s="29"/>
      <c r="D41" s="30"/>
      <c r="E41" s="30"/>
      <c r="F41" s="31"/>
      <c r="G41" s="143"/>
    </row>
    <row r="42" spans="1:7" s="12" customFormat="1" ht="18" customHeight="1" x14ac:dyDescent="0.25">
      <c r="A42" s="32" t="s">
        <v>35</v>
      </c>
      <c r="B42" s="17"/>
      <c r="C42" s="26">
        <v>154416.89297819996</v>
      </c>
      <c r="D42" s="27">
        <f>(D19-D9)*0.03</f>
        <v>121887.01859999998</v>
      </c>
      <c r="E42" s="27">
        <f>(E19-E9)*0.03</f>
        <v>157443.01751327459</v>
      </c>
      <c r="F42" s="28">
        <f>E42-C42</f>
        <v>3026.1245350746321</v>
      </c>
      <c r="G42" s="141"/>
    </row>
    <row r="43" spans="1:7" s="12" customFormat="1" ht="18" customHeight="1" x14ac:dyDescent="0.25">
      <c r="A43" s="32" t="s">
        <v>36</v>
      </c>
      <c r="B43" s="17"/>
      <c r="C43" s="26">
        <v>1019947</v>
      </c>
      <c r="D43" s="27">
        <v>1019947</v>
      </c>
      <c r="E43" s="27">
        <v>1019947</v>
      </c>
      <c r="F43" s="28">
        <f>E43-C43</f>
        <v>0</v>
      </c>
      <c r="G43" s="141"/>
    </row>
    <row r="44" spans="1:7" s="12" customFormat="1" ht="18" customHeight="1" x14ac:dyDescent="0.25">
      <c r="A44" s="32" t="s">
        <v>37</v>
      </c>
      <c r="B44" s="17"/>
      <c r="C44" s="26">
        <v>44200</v>
      </c>
      <c r="D44" s="27">
        <v>44200</v>
      </c>
      <c r="E44" s="27">
        <v>44200</v>
      </c>
      <c r="F44" s="28">
        <f>E44-C44</f>
        <v>0</v>
      </c>
      <c r="G44" s="141"/>
    </row>
    <row r="45" spans="1:7" s="17" customFormat="1" ht="18" customHeight="1" x14ac:dyDescent="0.25">
      <c r="A45" s="32" t="s">
        <v>38</v>
      </c>
      <c r="C45" s="26">
        <v>2132993.3632327989</v>
      </c>
      <c r="D45" s="27">
        <f>D46-D42-D43-D44</f>
        <v>1148638.3247333337</v>
      </c>
      <c r="E45" s="27">
        <f>E46-E42-E43-E44</f>
        <v>1547905.8586920532</v>
      </c>
      <c r="F45" s="28">
        <f>E45-C45</f>
        <v>-585087.50454074563</v>
      </c>
      <c r="G45" s="141"/>
    </row>
    <row r="46" spans="1:7" s="17" customFormat="1" ht="18" customHeight="1" thickBot="1" x14ac:dyDescent="0.3">
      <c r="A46" s="21" t="s">
        <v>39</v>
      </c>
      <c r="B46" s="4"/>
      <c r="C46" s="22">
        <v>3351557.2562109986</v>
      </c>
      <c r="D46" s="23">
        <f>D3+D39</f>
        <v>2334672.3433333337</v>
      </c>
      <c r="E46" s="24">
        <f>E3+E39</f>
        <v>2769495.8762053279</v>
      </c>
      <c r="F46" s="25">
        <f>E46-C46</f>
        <v>-582061.38000567071</v>
      </c>
      <c r="G46" s="141"/>
    </row>
    <row r="47" spans="1:7" s="4" customFormat="1" ht="18" customHeight="1" x14ac:dyDescent="0.25">
      <c r="A47" s="17"/>
      <c r="B47" s="17"/>
      <c r="C47" s="19" t="s">
        <v>40</v>
      </c>
      <c r="D47" s="19"/>
      <c r="E47" s="19" t="s">
        <v>40</v>
      </c>
      <c r="F47" s="19"/>
      <c r="G47" s="141"/>
    </row>
    <row r="48" spans="1:7" s="17" customFormat="1" x14ac:dyDescent="0.25">
      <c r="A48" s="37"/>
      <c r="C48" s="19"/>
      <c r="D48" s="19"/>
      <c r="E48" s="19"/>
      <c r="F48" s="19"/>
      <c r="G48" s="141"/>
    </row>
    <row r="49" spans="1:7" s="17" customFormat="1" ht="15" thickBot="1" x14ac:dyDescent="0.25">
      <c r="A49" s="1"/>
      <c r="B49" s="1"/>
      <c r="C49" s="2"/>
      <c r="D49" s="2"/>
      <c r="E49" s="2"/>
      <c r="F49" s="2"/>
      <c r="G49" s="142"/>
    </row>
    <row r="50" spans="1:7" ht="51" customHeight="1" x14ac:dyDescent="0.2">
      <c r="B50" s="47" t="s">
        <v>41</v>
      </c>
      <c r="C50" s="48" t="s">
        <v>365</v>
      </c>
      <c r="D50" s="41" t="s">
        <v>42</v>
      </c>
      <c r="E50" s="43" t="s">
        <v>365</v>
      </c>
      <c r="F50" s="42" t="s">
        <v>43</v>
      </c>
    </row>
    <row r="51" spans="1:7" ht="18.75" customHeight="1" x14ac:dyDescent="0.2">
      <c r="B51" s="49" t="s">
        <v>44</v>
      </c>
      <c r="C51" s="50">
        <v>0.46757586466878548</v>
      </c>
      <c r="D51" s="39">
        <f>C45/C37</f>
        <v>0.46757586466878548</v>
      </c>
      <c r="E51" s="137">
        <f>E45/E37</f>
        <v>0.31569625829499071</v>
      </c>
      <c r="F51" s="45" t="s">
        <v>45</v>
      </c>
      <c r="G51" s="141"/>
    </row>
    <row r="52" spans="1:7" s="17" customFormat="1" ht="18.75" customHeight="1" thickBot="1" x14ac:dyDescent="0.25">
      <c r="B52" s="51" t="s">
        <v>46</v>
      </c>
      <c r="C52" s="52">
        <v>170.6651906041067</v>
      </c>
      <c r="D52" s="40">
        <f>C45/C53</f>
        <v>170.6651906041067</v>
      </c>
      <c r="E52" s="138">
        <f>E45/E53</f>
        <v>115.22913427767162</v>
      </c>
      <c r="F52" s="46" t="s">
        <v>47</v>
      </c>
      <c r="G52" s="142"/>
    </row>
    <row r="53" spans="1:7" x14ac:dyDescent="0.2">
      <c r="C53" s="36">
        <v>12498.116081449318</v>
      </c>
      <c r="E53" s="36">
        <f>E37/365</f>
        <v>13433.285500193129</v>
      </c>
    </row>
  </sheetData>
  <phoneticPr fontId="12" type="noConversion"/>
  <conditionalFormatting sqref="D51:E51">
    <cfRule type="cellIs" dxfId="7" priority="3" operator="lessThan">
      <formula>0.05</formula>
    </cfRule>
    <cfRule type="cellIs" dxfId="6" priority="4" operator="between">
      <formula>0.05</formula>
      <formula>0.16</formula>
    </cfRule>
    <cfRule type="cellIs" dxfId="5" priority="6" operator="greaterThan">
      <formula>0.16</formula>
    </cfRule>
  </conditionalFormatting>
  <conditionalFormatting sqref="D52:E52">
    <cfRule type="cellIs" dxfId="4" priority="1" operator="lessThan">
      <formula>19</formula>
    </cfRule>
    <cfRule type="cellIs" dxfId="3" priority="2" operator="between">
      <formula>19</formula>
      <formula>60</formula>
    </cfRule>
    <cfRule type="cellIs" dxfId="2" priority="5" operator="greaterThan">
      <formula>60</formula>
    </cfRule>
  </conditionalFormatting>
  <printOptions horizontalCentered="1"/>
  <pageMargins left="0.45" right="0.45" top="1" bottom="0.5" header="0.3" footer="0.3"/>
  <pageSetup scale="69" orientation="portrait" r:id="rId1"/>
  <headerFooter>
    <oddHeader>&amp;C&amp;"Cambria,Regular"&amp;14Colorado Springs Charter Academy
FY 2023-24 Proposed Budget
May 31, 2023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EAFA-FCC9-48A1-8284-A5D6A0922284}">
  <dimension ref="A1:J93"/>
  <sheetViews>
    <sheetView workbookViewId="0">
      <selection activeCell="C84" sqref="C84:C93"/>
    </sheetView>
  </sheetViews>
  <sheetFormatPr defaultColWidth="9.140625" defaultRowHeight="15" x14ac:dyDescent="0.25"/>
  <cols>
    <col min="1" max="1" width="33.5703125" style="119" customWidth="1"/>
    <col min="2" max="2" width="11.5703125" style="119" bestFit="1" customWidth="1"/>
    <col min="3" max="3" width="17.140625" style="119" customWidth="1"/>
    <col min="4" max="4" width="7.7109375" style="119" customWidth="1"/>
    <col min="5" max="5" width="22.28515625" style="119" customWidth="1"/>
    <col min="6" max="6" width="47.28515625" style="119" customWidth="1"/>
    <col min="7" max="7" width="79" style="119" hidden="1" customWidth="1"/>
    <col min="8" max="8" width="42.140625" style="119" hidden="1" customWidth="1"/>
    <col min="9" max="9" width="10.28515625" style="119" customWidth="1"/>
    <col min="10" max="10" width="8.7109375" style="119" bestFit="1" customWidth="1"/>
    <col min="11" max="16384" width="9.140625" style="119"/>
  </cols>
  <sheetData>
    <row r="1" spans="1:10" ht="18" x14ac:dyDescent="0.25">
      <c r="A1" s="205" t="s">
        <v>188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ht="18" x14ac:dyDescent="0.25">
      <c r="A2" s="205" t="s">
        <v>189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0" x14ac:dyDescent="0.25">
      <c r="A3" s="207" t="s">
        <v>190</v>
      </c>
      <c r="B3" s="206"/>
      <c r="C3" s="206"/>
      <c r="D3" s="206"/>
      <c r="E3" s="206"/>
      <c r="F3" s="206"/>
      <c r="G3" s="206"/>
      <c r="H3" s="206"/>
      <c r="I3" s="206"/>
      <c r="J3" s="206"/>
    </row>
    <row r="5" spans="1:10" x14ac:dyDescent="0.25">
      <c r="B5" s="120" t="s">
        <v>191</v>
      </c>
      <c r="C5" s="120" t="s">
        <v>192</v>
      </c>
      <c r="D5" s="120" t="s">
        <v>193</v>
      </c>
      <c r="E5" s="120" t="s">
        <v>194</v>
      </c>
      <c r="F5" s="120" t="s">
        <v>195</v>
      </c>
      <c r="G5" s="120" t="s">
        <v>196</v>
      </c>
      <c r="H5" s="120" t="s">
        <v>197</v>
      </c>
      <c r="I5" s="120" t="s">
        <v>198</v>
      </c>
      <c r="J5" s="120" t="s">
        <v>199</v>
      </c>
    </row>
    <row r="6" spans="1:10" x14ac:dyDescent="0.25">
      <c r="A6" s="121" t="s">
        <v>200</v>
      </c>
    </row>
    <row r="7" spans="1:10" x14ac:dyDescent="0.25">
      <c r="A7" s="121" t="s">
        <v>201</v>
      </c>
    </row>
    <row r="8" spans="1:10" x14ac:dyDescent="0.25">
      <c r="A8" s="121" t="s">
        <v>202</v>
      </c>
    </row>
    <row r="9" spans="1:10" x14ac:dyDescent="0.25">
      <c r="A9" s="121" t="s">
        <v>203</v>
      </c>
    </row>
    <row r="10" spans="1:10" s="125" customFormat="1" x14ac:dyDescent="0.25">
      <c r="B10" s="126" t="s">
        <v>204</v>
      </c>
      <c r="C10" s="126" t="s">
        <v>205</v>
      </c>
      <c r="D10" s="126">
        <v>5746</v>
      </c>
      <c r="E10" s="126" t="s">
        <v>206</v>
      </c>
      <c r="F10" s="126" t="s">
        <v>207</v>
      </c>
      <c r="G10" s="126" t="s">
        <v>208</v>
      </c>
      <c r="H10" s="126" t="s">
        <v>209</v>
      </c>
      <c r="I10" s="127">
        <v>2757</v>
      </c>
      <c r="J10" s="127">
        <v>2757</v>
      </c>
    </row>
    <row r="11" spans="1:10" x14ac:dyDescent="0.25">
      <c r="B11" s="122" t="s">
        <v>204</v>
      </c>
      <c r="C11" s="122" t="s">
        <v>205</v>
      </c>
      <c r="D11" s="122">
        <v>5748</v>
      </c>
      <c r="E11" s="122" t="s">
        <v>210</v>
      </c>
      <c r="F11" s="122" t="s">
        <v>211</v>
      </c>
      <c r="G11" s="122" t="s">
        <v>208</v>
      </c>
      <c r="H11" s="122" t="s">
        <v>209</v>
      </c>
      <c r="I11" s="123">
        <v>550</v>
      </c>
      <c r="J11" s="123">
        <v>3307</v>
      </c>
    </row>
    <row r="12" spans="1:10" x14ac:dyDescent="0.25">
      <c r="B12" s="122" t="s">
        <v>212</v>
      </c>
      <c r="C12" s="122" t="s">
        <v>205</v>
      </c>
      <c r="D12" s="122"/>
      <c r="E12" s="122" t="s">
        <v>213</v>
      </c>
      <c r="F12" s="122" t="s">
        <v>214</v>
      </c>
      <c r="G12" s="122" t="s">
        <v>208</v>
      </c>
      <c r="H12" s="122" t="s">
        <v>215</v>
      </c>
      <c r="I12" s="123">
        <v>1284.45</v>
      </c>
      <c r="J12" s="123">
        <v>4591.45</v>
      </c>
    </row>
    <row r="13" spans="1:10" x14ac:dyDescent="0.25">
      <c r="B13" s="122" t="s">
        <v>212</v>
      </c>
      <c r="C13" s="122" t="s">
        <v>205</v>
      </c>
      <c r="D13" s="122"/>
      <c r="E13" s="122" t="s">
        <v>213</v>
      </c>
      <c r="F13" s="122" t="s">
        <v>216</v>
      </c>
      <c r="G13" s="122" t="s">
        <v>208</v>
      </c>
      <c r="H13" s="122" t="s">
        <v>215</v>
      </c>
      <c r="I13" s="123">
        <v>1284.45</v>
      </c>
      <c r="J13" s="123">
        <v>5875.9</v>
      </c>
    </row>
    <row r="14" spans="1:10" x14ac:dyDescent="0.25">
      <c r="B14" s="122" t="s">
        <v>217</v>
      </c>
      <c r="C14" s="122" t="s">
        <v>205</v>
      </c>
      <c r="D14" s="122">
        <v>5770</v>
      </c>
      <c r="E14" s="122" t="s">
        <v>218</v>
      </c>
      <c r="F14" s="122" t="s">
        <v>219</v>
      </c>
      <c r="G14" s="122" t="s">
        <v>208</v>
      </c>
      <c r="H14" s="122" t="s">
        <v>209</v>
      </c>
      <c r="I14" s="123">
        <v>14915.86</v>
      </c>
      <c r="J14" s="123">
        <v>20791.759999999998</v>
      </c>
    </row>
    <row r="15" spans="1:10" s="125" customFormat="1" x14ac:dyDescent="0.25">
      <c r="B15" s="126" t="s">
        <v>220</v>
      </c>
      <c r="C15" s="126" t="s">
        <v>205</v>
      </c>
      <c r="D15" s="126">
        <v>5805</v>
      </c>
      <c r="E15" s="126" t="s">
        <v>206</v>
      </c>
      <c r="F15" s="126" t="s">
        <v>221</v>
      </c>
      <c r="G15" s="126" t="s">
        <v>208</v>
      </c>
      <c r="H15" s="126" t="s">
        <v>209</v>
      </c>
      <c r="I15" s="127">
        <v>3082</v>
      </c>
      <c r="J15" s="127">
        <v>23873.759999999998</v>
      </c>
    </row>
    <row r="16" spans="1:10" x14ac:dyDescent="0.25">
      <c r="B16" s="122" t="s">
        <v>222</v>
      </c>
      <c r="C16" s="122" t="s">
        <v>205</v>
      </c>
      <c r="D16" s="122">
        <v>5820</v>
      </c>
      <c r="E16" s="122" t="s">
        <v>223</v>
      </c>
      <c r="F16" s="122" t="s">
        <v>224</v>
      </c>
      <c r="G16" s="122" t="s">
        <v>208</v>
      </c>
      <c r="H16" s="122" t="s">
        <v>209</v>
      </c>
      <c r="I16" s="123">
        <v>120</v>
      </c>
      <c r="J16" s="123">
        <v>23993.759999999998</v>
      </c>
    </row>
    <row r="17" spans="2:10" x14ac:dyDescent="0.25">
      <c r="B17" s="122" t="s">
        <v>225</v>
      </c>
      <c r="C17" s="122" t="s">
        <v>205</v>
      </c>
      <c r="D17" s="122"/>
      <c r="E17" s="122" t="s">
        <v>213</v>
      </c>
      <c r="F17" s="122" t="s">
        <v>226</v>
      </c>
      <c r="G17" s="122" t="s">
        <v>208</v>
      </c>
      <c r="H17" s="122" t="s">
        <v>215</v>
      </c>
      <c r="I17" s="123">
        <v>179.88</v>
      </c>
      <c r="J17" s="123">
        <v>24173.64</v>
      </c>
    </row>
    <row r="18" spans="2:10" x14ac:dyDescent="0.25">
      <c r="B18" s="122" t="s">
        <v>225</v>
      </c>
      <c r="C18" s="122" t="s">
        <v>205</v>
      </c>
      <c r="D18" s="122"/>
      <c r="E18" s="122" t="s">
        <v>213</v>
      </c>
      <c r="F18" s="122" t="s">
        <v>214</v>
      </c>
      <c r="G18" s="122" t="s">
        <v>208</v>
      </c>
      <c r="H18" s="122" t="s">
        <v>215</v>
      </c>
      <c r="I18" s="123">
        <v>1284.45</v>
      </c>
      <c r="J18" s="123">
        <v>25458.09</v>
      </c>
    </row>
    <row r="19" spans="2:10" x14ac:dyDescent="0.25">
      <c r="B19" s="122" t="s">
        <v>227</v>
      </c>
      <c r="C19" s="122" t="s">
        <v>205</v>
      </c>
      <c r="D19" s="122">
        <v>5849</v>
      </c>
      <c r="E19" s="122" t="s">
        <v>228</v>
      </c>
      <c r="F19" s="122" t="s">
        <v>229</v>
      </c>
      <c r="G19" s="122" t="s">
        <v>208</v>
      </c>
      <c r="H19" s="122" t="s">
        <v>209</v>
      </c>
      <c r="I19" s="123">
        <v>747</v>
      </c>
      <c r="J19" s="123">
        <v>26205.09</v>
      </c>
    </row>
    <row r="20" spans="2:10" x14ac:dyDescent="0.25">
      <c r="B20" s="122" t="s">
        <v>230</v>
      </c>
      <c r="C20" s="122" t="s">
        <v>205</v>
      </c>
      <c r="D20" s="122"/>
      <c r="E20" s="122" t="s">
        <v>213</v>
      </c>
      <c r="F20" s="122" t="s">
        <v>214</v>
      </c>
      <c r="G20" s="122" t="s">
        <v>208</v>
      </c>
      <c r="H20" s="122" t="s">
        <v>215</v>
      </c>
      <c r="I20" s="123">
        <v>0</v>
      </c>
      <c r="J20" s="123">
        <v>26205.09</v>
      </c>
    </row>
    <row r="21" spans="2:10" x14ac:dyDescent="0.25">
      <c r="B21" s="122" t="s">
        <v>231</v>
      </c>
      <c r="C21" s="122" t="s">
        <v>205</v>
      </c>
      <c r="D21" s="122">
        <v>5857</v>
      </c>
      <c r="E21" s="122" t="s">
        <v>232</v>
      </c>
      <c r="F21" s="122" t="s">
        <v>233</v>
      </c>
      <c r="G21" s="122" t="s">
        <v>208</v>
      </c>
      <c r="H21" s="122" t="s">
        <v>209</v>
      </c>
      <c r="I21" s="123">
        <v>895</v>
      </c>
      <c r="J21" s="123">
        <v>27100.09</v>
      </c>
    </row>
    <row r="22" spans="2:10" x14ac:dyDescent="0.25">
      <c r="B22" s="122" t="s">
        <v>234</v>
      </c>
      <c r="C22" s="122" t="s">
        <v>205</v>
      </c>
      <c r="D22" s="122">
        <v>5894</v>
      </c>
      <c r="E22" s="122" t="s">
        <v>223</v>
      </c>
      <c r="F22" s="122" t="s">
        <v>235</v>
      </c>
      <c r="G22" s="122" t="s">
        <v>208</v>
      </c>
      <c r="H22" s="122" t="s">
        <v>209</v>
      </c>
      <c r="I22" s="123">
        <v>0</v>
      </c>
      <c r="J22" s="123">
        <v>27100.09</v>
      </c>
    </row>
    <row r="23" spans="2:10" x14ac:dyDescent="0.25">
      <c r="B23" s="122" t="s">
        <v>236</v>
      </c>
      <c r="C23" s="122" t="s">
        <v>205</v>
      </c>
      <c r="D23" s="122"/>
      <c r="E23" s="122" t="s">
        <v>213</v>
      </c>
      <c r="F23" s="122" t="s">
        <v>214</v>
      </c>
      <c r="G23" s="122" t="s">
        <v>208</v>
      </c>
      <c r="H23" s="122" t="s">
        <v>215</v>
      </c>
      <c r="I23" s="123">
        <v>1224.45</v>
      </c>
      <c r="J23" s="123">
        <v>28324.54</v>
      </c>
    </row>
    <row r="24" spans="2:10" x14ac:dyDescent="0.25">
      <c r="B24" s="122" t="s">
        <v>237</v>
      </c>
      <c r="C24" s="122" t="s">
        <v>205</v>
      </c>
      <c r="D24" s="122">
        <v>5924</v>
      </c>
      <c r="E24" s="122" t="s">
        <v>238</v>
      </c>
      <c r="F24" s="122" t="s">
        <v>239</v>
      </c>
      <c r="G24" s="122" t="s">
        <v>208</v>
      </c>
      <c r="H24" s="122" t="s">
        <v>209</v>
      </c>
      <c r="I24" s="123">
        <v>1512</v>
      </c>
      <c r="J24" s="123">
        <v>29836.54</v>
      </c>
    </row>
    <row r="25" spans="2:10" x14ac:dyDescent="0.25">
      <c r="B25" s="122" t="s">
        <v>240</v>
      </c>
      <c r="C25" s="122" t="s">
        <v>205</v>
      </c>
      <c r="D25" s="122">
        <v>5945</v>
      </c>
      <c r="E25" s="122" t="s">
        <v>223</v>
      </c>
      <c r="F25" s="122" t="s">
        <v>241</v>
      </c>
      <c r="G25" s="122" t="s">
        <v>208</v>
      </c>
      <c r="H25" s="122" t="s">
        <v>209</v>
      </c>
      <c r="I25" s="123">
        <v>0</v>
      </c>
      <c r="J25" s="123">
        <v>29836.54</v>
      </c>
    </row>
    <row r="26" spans="2:10" x14ac:dyDescent="0.25">
      <c r="B26" s="122" t="s">
        <v>242</v>
      </c>
      <c r="C26" s="122" t="s">
        <v>205</v>
      </c>
      <c r="D26" s="122">
        <v>5969</v>
      </c>
      <c r="E26" s="122" t="s">
        <v>223</v>
      </c>
      <c r="F26" s="122" t="s">
        <v>243</v>
      </c>
      <c r="G26" s="122" t="s">
        <v>208</v>
      </c>
      <c r="H26" s="122" t="s">
        <v>209</v>
      </c>
      <c r="I26" s="123">
        <v>120</v>
      </c>
      <c r="J26" s="123">
        <v>29956.54</v>
      </c>
    </row>
    <row r="27" spans="2:10" x14ac:dyDescent="0.25">
      <c r="B27" s="122" t="s">
        <v>244</v>
      </c>
      <c r="C27" s="122" t="s">
        <v>205</v>
      </c>
      <c r="D27" s="122"/>
      <c r="E27" s="122" t="s">
        <v>213</v>
      </c>
      <c r="F27" s="122" t="s">
        <v>245</v>
      </c>
      <c r="G27" s="122" t="s">
        <v>208</v>
      </c>
      <c r="H27" s="122" t="s">
        <v>215</v>
      </c>
      <c r="I27" s="123">
        <v>1236.45</v>
      </c>
      <c r="J27" s="123">
        <v>31192.99</v>
      </c>
    </row>
    <row r="28" spans="2:10" x14ac:dyDescent="0.25">
      <c r="B28" s="122" t="s">
        <v>246</v>
      </c>
      <c r="C28" s="122" t="s">
        <v>205</v>
      </c>
      <c r="D28" s="122">
        <v>6007</v>
      </c>
      <c r="E28" s="122" t="s">
        <v>247</v>
      </c>
      <c r="F28" s="122" t="s">
        <v>248</v>
      </c>
      <c r="G28" s="122" t="s">
        <v>208</v>
      </c>
      <c r="H28" s="122" t="s">
        <v>209</v>
      </c>
      <c r="I28" s="123">
        <v>295</v>
      </c>
      <c r="J28" s="123">
        <v>31487.99</v>
      </c>
    </row>
    <row r="29" spans="2:10" x14ac:dyDescent="0.25">
      <c r="B29" s="122" t="s">
        <v>249</v>
      </c>
      <c r="C29" s="122" t="s">
        <v>205</v>
      </c>
      <c r="D29" s="122">
        <v>6051</v>
      </c>
      <c r="E29" s="122" t="s">
        <v>223</v>
      </c>
      <c r="F29" s="122" t="s">
        <v>250</v>
      </c>
      <c r="G29" s="122" t="s">
        <v>208</v>
      </c>
      <c r="H29" s="122" t="s">
        <v>209</v>
      </c>
      <c r="I29" s="123">
        <v>120</v>
      </c>
      <c r="J29" s="123">
        <v>31607.99</v>
      </c>
    </row>
    <row r="30" spans="2:10" x14ac:dyDescent="0.25">
      <c r="B30" s="122" t="s">
        <v>251</v>
      </c>
      <c r="C30" s="122" t="s">
        <v>205</v>
      </c>
      <c r="D30" s="122"/>
      <c r="E30" s="122" t="s">
        <v>213</v>
      </c>
      <c r="F30" s="122" t="s">
        <v>252</v>
      </c>
      <c r="G30" s="122" t="s">
        <v>208</v>
      </c>
      <c r="H30" s="122" t="s">
        <v>215</v>
      </c>
      <c r="I30" s="123">
        <v>1224.45</v>
      </c>
      <c r="J30" s="123">
        <v>32832.44</v>
      </c>
    </row>
    <row r="31" spans="2:10" x14ac:dyDescent="0.25">
      <c r="B31" s="122" t="s">
        <v>253</v>
      </c>
      <c r="C31" s="122" t="s">
        <v>205</v>
      </c>
      <c r="D31" s="122">
        <v>6102</v>
      </c>
      <c r="E31" s="122" t="s">
        <v>223</v>
      </c>
      <c r="F31" s="122" t="s">
        <v>254</v>
      </c>
      <c r="G31" s="122" t="s">
        <v>208</v>
      </c>
      <c r="H31" s="122" t="s">
        <v>209</v>
      </c>
      <c r="I31" s="123">
        <v>120</v>
      </c>
      <c r="J31" s="123">
        <v>32952.44</v>
      </c>
    </row>
    <row r="32" spans="2:10" x14ac:dyDescent="0.25">
      <c r="B32" s="122" t="s">
        <v>255</v>
      </c>
      <c r="C32" s="122" t="s">
        <v>205</v>
      </c>
      <c r="D32" s="122"/>
      <c r="E32" s="122" t="s">
        <v>213</v>
      </c>
      <c r="F32" s="122" t="s">
        <v>256</v>
      </c>
      <c r="G32" s="122" t="s">
        <v>208</v>
      </c>
      <c r="H32" s="122" t="s">
        <v>215</v>
      </c>
      <c r="I32" s="123">
        <v>1224.45</v>
      </c>
      <c r="J32" s="123">
        <v>34176.89</v>
      </c>
    </row>
    <row r="33" spans="1:10" x14ac:dyDescent="0.25">
      <c r="B33" s="122" t="s">
        <v>257</v>
      </c>
      <c r="C33" s="122" t="s">
        <v>205</v>
      </c>
      <c r="D33" s="122">
        <v>6145</v>
      </c>
      <c r="E33" s="122" t="s">
        <v>223</v>
      </c>
      <c r="F33" s="122" t="s">
        <v>258</v>
      </c>
      <c r="G33" s="122" t="s">
        <v>208</v>
      </c>
      <c r="H33" s="122" t="s">
        <v>209</v>
      </c>
      <c r="I33" s="123">
        <v>120</v>
      </c>
      <c r="J33" s="123">
        <v>34296.89</v>
      </c>
    </row>
    <row r="34" spans="1:10" x14ac:dyDescent="0.25">
      <c r="B34" s="122" t="s">
        <v>259</v>
      </c>
      <c r="C34" s="122" t="s">
        <v>260</v>
      </c>
      <c r="D34" s="122"/>
      <c r="E34" s="122" t="s">
        <v>214</v>
      </c>
      <c r="F34" s="122"/>
      <c r="G34" s="122" t="s">
        <v>208</v>
      </c>
      <c r="H34" s="122" t="s">
        <v>261</v>
      </c>
      <c r="I34" s="123">
        <v>1224.45</v>
      </c>
      <c r="J34" s="123">
        <v>35521.339999999997</v>
      </c>
    </row>
    <row r="35" spans="1:10" x14ac:dyDescent="0.25">
      <c r="B35" s="122" t="s">
        <v>262</v>
      </c>
      <c r="C35" s="122" t="s">
        <v>260</v>
      </c>
      <c r="D35" s="122"/>
      <c r="E35" s="122" t="s">
        <v>214</v>
      </c>
      <c r="F35" s="122"/>
      <c r="G35" s="122" t="s">
        <v>208</v>
      </c>
      <c r="H35" s="122" t="s">
        <v>261</v>
      </c>
      <c r="I35" s="123">
        <v>1224.45</v>
      </c>
      <c r="J35" s="123">
        <v>36745.79</v>
      </c>
    </row>
    <row r="36" spans="1:10" x14ac:dyDescent="0.25">
      <c r="B36" s="122" t="s">
        <v>263</v>
      </c>
      <c r="C36" s="122" t="s">
        <v>205</v>
      </c>
      <c r="D36" s="122">
        <v>6218</v>
      </c>
      <c r="E36" s="122" t="s">
        <v>223</v>
      </c>
      <c r="F36" s="122" t="s">
        <v>264</v>
      </c>
      <c r="G36" s="122" t="s">
        <v>208</v>
      </c>
      <c r="H36" s="122" t="s">
        <v>209</v>
      </c>
      <c r="I36" s="123">
        <v>120</v>
      </c>
      <c r="J36" s="123">
        <v>36865.79</v>
      </c>
    </row>
    <row r="37" spans="1:10" x14ac:dyDescent="0.25">
      <c r="B37" s="122" t="s">
        <v>265</v>
      </c>
      <c r="C37" s="122" t="s">
        <v>260</v>
      </c>
      <c r="D37" s="122"/>
      <c r="E37" s="122" t="s">
        <v>214</v>
      </c>
      <c r="F37" s="122"/>
      <c r="G37" s="122" t="s">
        <v>208</v>
      </c>
      <c r="H37" s="122" t="s">
        <v>261</v>
      </c>
      <c r="I37" s="123">
        <v>1224.45</v>
      </c>
      <c r="J37" s="123">
        <v>38090.239999999998</v>
      </c>
    </row>
    <row r="38" spans="1:10" x14ac:dyDescent="0.25">
      <c r="B38" s="122" t="s">
        <v>266</v>
      </c>
      <c r="C38" s="122" t="s">
        <v>205</v>
      </c>
      <c r="D38" s="122">
        <v>6262</v>
      </c>
      <c r="E38" s="122" t="s">
        <v>223</v>
      </c>
      <c r="F38" s="122" t="s">
        <v>267</v>
      </c>
      <c r="G38" s="122" t="s">
        <v>208</v>
      </c>
      <c r="H38" s="122" t="s">
        <v>209</v>
      </c>
      <c r="I38" s="123">
        <v>120</v>
      </c>
      <c r="J38" s="123">
        <v>38210.239999999998</v>
      </c>
    </row>
    <row r="39" spans="1:10" x14ac:dyDescent="0.25">
      <c r="B39" s="122" t="s">
        <v>268</v>
      </c>
      <c r="C39" s="122" t="s">
        <v>205</v>
      </c>
      <c r="D39" s="122">
        <v>6266</v>
      </c>
      <c r="E39" s="122" t="s">
        <v>223</v>
      </c>
      <c r="F39" s="122" t="s">
        <v>269</v>
      </c>
      <c r="G39" s="122" t="s">
        <v>208</v>
      </c>
      <c r="H39" s="122" t="s">
        <v>209</v>
      </c>
      <c r="I39" s="123">
        <v>120</v>
      </c>
      <c r="J39" s="123">
        <v>38330.239999999998</v>
      </c>
    </row>
    <row r="40" spans="1:10" x14ac:dyDescent="0.25">
      <c r="B40" s="122" t="s">
        <v>268</v>
      </c>
      <c r="C40" s="122" t="s">
        <v>205</v>
      </c>
      <c r="D40" s="122">
        <v>6265</v>
      </c>
      <c r="E40" s="122" t="s">
        <v>223</v>
      </c>
      <c r="F40" s="122" t="s">
        <v>270</v>
      </c>
      <c r="G40" s="122" t="s">
        <v>208</v>
      </c>
      <c r="H40" s="122" t="s">
        <v>209</v>
      </c>
      <c r="I40" s="123">
        <v>120</v>
      </c>
      <c r="J40" s="123">
        <v>38450.239999999998</v>
      </c>
    </row>
    <row r="41" spans="1:10" x14ac:dyDescent="0.25">
      <c r="B41" s="122" t="s">
        <v>268</v>
      </c>
      <c r="C41" s="122" t="s">
        <v>205</v>
      </c>
      <c r="D41" s="122">
        <v>6267</v>
      </c>
      <c r="E41" s="122" t="s">
        <v>271</v>
      </c>
      <c r="F41" s="122" t="s">
        <v>272</v>
      </c>
      <c r="G41" s="122" t="s">
        <v>208</v>
      </c>
      <c r="H41" s="122" t="s">
        <v>209</v>
      </c>
      <c r="I41" s="123">
        <v>75.41</v>
      </c>
      <c r="J41" s="123">
        <v>38525.65</v>
      </c>
    </row>
    <row r="42" spans="1:10" x14ac:dyDescent="0.25">
      <c r="B42" s="122" t="s">
        <v>273</v>
      </c>
      <c r="C42" s="122" t="s">
        <v>260</v>
      </c>
      <c r="D42" s="122"/>
      <c r="E42" s="122" t="s">
        <v>214</v>
      </c>
      <c r="F42" s="122"/>
      <c r="G42" s="122" t="s">
        <v>208</v>
      </c>
      <c r="H42" s="122" t="s">
        <v>261</v>
      </c>
      <c r="I42" s="123">
        <v>1224.45</v>
      </c>
      <c r="J42" s="123">
        <v>39750.1</v>
      </c>
    </row>
    <row r="43" spans="1:10" x14ac:dyDescent="0.25">
      <c r="B43" s="122" t="s">
        <v>274</v>
      </c>
      <c r="C43" s="122" t="s">
        <v>205</v>
      </c>
      <c r="D43" s="122">
        <v>6337</v>
      </c>
      <c r="E43" s="122" t="s">
        <v>223</v>
      </c>
      <c r="F43" s="122" t="s">
        <v>275</v>
      </c>
      <c r="G43" s="122" t="s">
        <v>208</v>
      </c>
      <c r="H43" s="122" t="s">
        <v>209</v>
      </c>
      <c r="I43" s="123">
        <v>120</v>
      </c>
      <c r="J43" s="123">
        <v>39870.1</v>
      </c>
    </row>
    <row r="44" spans="1:10" x14ac:dyDescent="0.25">
      <c r="B44" s="122" t="s">
        <v>276</v>
      </c>
      <c r="C44" s="122" t="s">
        <v>260</v>
      </c>
      <c r="D44" s="122"/>
      <c r="E44" s="122" t="s">
        <v>214</v>
      </c>
      <c r="F44" s="122"/>
      <c r="G44" s="122" t="s">
        <v>208</v>
      </c>
      <c r="H44" s="122" t="s">
        <v>261</v>
      </c>
      <c r="I44" s="123">
        <v>1224.45</v>
      </c>
      <c r="J44" s="123">
        <v>41094.550000000003</v>
      </c>
    </row>
    <row r="45" spans="1:10" x14ac:dyDescent="0.25">
      <c r="B45" s="122" t="s">
        <v>277</v>
      </c>
      <c r="C45" s="122" t="s">
        <v>205</v>
      </c>
      <c r="D45" s="122">
        <v>6375</v>
      </c>
      <c r="E45" s="122" t="s">
        <v>223</v>
      </c>
      <c r="F45" s="122" t="s">
        <v>278</v>
      </c>
      <c r="G45" s="122" t="s">
        <v>208</v>
      </c>
      <c r="H45" s="122" t="s">
        <v>279</v>
      </c>
      <c r="I45" s="123">
        <v>120</v>
      </c>
      <c r="J45" s="123">
        <v>41214.550000000003</v>
      </c>
    </row>
    <row r="46" spans="1:10" x14ac:dyDescent="0.25">
      <c r="B46" s="122" t="s">
        <v>280</v>
      </c>
      <c r="C46" s="122" t="s">
        <v>281</v>
      </c>
      <c r="D46" s="122"/>
      <c r="E46" s="122" t="s">
        <v>223</v>
      </c>
      <c r="F46" s="122" t="s">
        <v>282</v>
      </c>
      <c r="G46" s="122" t="s">
        <v>208</v>
      </c>
      <c r="H46" s="122" t="s">
        <v>209</v>
      </c>
      <c r="I46" s="123">
        <v>120</v>
      </c>
      <c r="J46" s="123">
        <v>41334.550000000003</v>
      </c>
    </row>
    <row r="47" spans="1:10" x14ac:dyDescent="0.25">
      <c r="A47" s="121" t="s">
        <v>283</v>
      </c>
      <c r="I47" s="124">
        <v>41334.550000000003</v>
      </c>
    </row>
    <row r="48" spans="1:10" x14ac:dyDescent="0.25">
      <c r="A48" s="121" t="s">
        <v>284</v>
      </c>
      <c r="I48" s="124">
        <v>41334.550000000003</v>
      </c>
    </row>
    <row r="49" spans="1:10" x14ac:dyDescent="0.25">
      <c r="A49" s="121" t="s">
        <v>285</v>
      </c>
      <c r="I49" s="124">
        <v>41334.550000000003</v>
      </c>
    </row>
    <row r="50" spans="1:10" x14ac:dyDescent="0.25">
      <c r="A50" s="121" t="s">
        <v>286</v>
      </c>
      <c r="I50" s="124">
        <v>41334.550000000003</v>
      </c>
    </row>
    <row r="51" spans="1:10" x14ac:dyDescent="0.25">
      <c r="A51" s="121" t="s">
        <v>287</v>
      </c>
      <c r="I51" s="124">
        <v>41334.550000000003</v>
      </c>
    </row>
    <row r="54" spans="1:10" x14ac:dyDescent="0.25">
      <c r="A54" s="208" t="s">
        <v>288</v>
      </c>
      <c r="B54" s="206"/>
      <c r="C54" s="206"/>
      <c r="D54" s="206"/>
      <c r="E54" s="206"/>
      <c r="F54" s="206"/>
      <c r="G54" s="206"/>
      <c r="H54" s="206"/>
      <c r="I54" s="206"/>
      <c r="J54" s="206"/>
    </row>
    <row r="56" spans="1:10" x14ac:dyDescent="0.25">
      <c r="A56" s="121" t="s">
        <v>289</v>
      </c>
    </row>
    <row r="57" spans="1:10" x14ac:dyDescent="0.25">
      <c r="A57" s="121" t="s">
        <v>290</v>
      </c>
    </row>
    <row r="58" spans="1:10" x14ac:dyDescent="0.25">
      <c r="A58" s="121" t="s">
        <v>291</v>
      </c>
    </row>
    <row r="59" spans="1:10" x14ac:dyDescent="0.25">
      <c r="B59" s="122" t="s">
        <v>292</v>
      </c>
      <c r="C59" s="122" t="s">
        <v>281</v>
      </c>
      <c r="D59" s="122">
        <v>5830</v>
      </c>
      <c r="E59" s="122" t="s">
        <v>206</v>
      </c>
      <c r="F59" s="122" t="s">
        <v>293</v>
      </c>
      <c r="G59" s="122" t="s">
        <v>294</v>
      </c>
      <c r="H59" s="122" t="s">
        <v>209</v>
      </c>
      <c r="I59" s="123">
        <v>2907</v>
      </c>
      <c r="J59" s="123">
        <v>2907</v>
      </c>
    </row>
    <row r="60" spans="1:10" x14ac:dyDescent="0.25">
      <c r="B60" s="122" t="s">
        <v>295</v>
      </c>
      <c r="C60" s="122" t="s">
        <v>205</v>
      </c>
      <c r="D60" s="122">
        <v>5868</v>
      </c>
      <c r="E60" s="122" t="s">
        <v>206</v>
      </c>
      <c r="F60" s="122" t="s">
        <v>296</v>
      </c>
      <c r="G60" s="122" t="s">
        <v>294</v>
      </c>
      <c r="H60" s="122" t="s">
        <v>209</v>
      </c>
      <c r="I60" s="123">
        <v>2807</v>
      </c>
      <c r="J60" s="123">
        <v>5714</v>
      </c>
    </row>
    <row r="61" spans="1:10" x14ac:dyDescent="0.25">
      <c r="B61" s="122" t="s">
        <v>240</v>
      </c>
      <c r="C61" s="122" t="s">
        <v>205</v>
      </c>
      <c r="D61" s="122">
        <v>5949</v>
      </c>
      <c r="E61" s="122" t="s">
        <v>206</v>
      </c>
      <c r="F61" s="122" t="s">
        <v>297</v>
      </c>
      <c r="G61" s="122" t="s">
        <v>294</v>
      </c>
      <c r="H61" s="122" t="s">
        <v>209</v>
      </c>
      <c r="I61" s="123">
        <v>2807</v>
      </c>
      <c r="J61" s="123">
        <v>8521</v>
      </c>
    </row>
    <row r="62" spans="1:10" x14ac:dyDescent="0.25">
      <c r="B62" s="122" t="s">
        <v>246</v>
      </c>
      <c r="C62" s="122" t="s">
        <v>205</v>
      </c>
      <c r="D62" s="122">
        <v>6008</v>
      </c>
      <c r="E62" s="122" t="s">
        <v>206</v>
      </c>
      <c r="F62" s="122" t="s">
        <v>298</v>
      </c>
      <c r="G62" s="122" t="s">
        <v>294</v>
      </c>
      <c r="H62" s="122" t="s">
        <v>209</v>
      </c>
      <c r="I62" s="123">
        <v>2682</v>
      </c>
      <c r="J62" s="123">
        <v>11203</v>
      </c>
    </row>
    <row r="63" spans="1:10" x14ac:dyDescent="0.25">
      <c r="B63" s="122" t="s">
        <v>299</v>
      </c>
      <c r="C63" s="122" t="s">
        <v>205</v>
      </c>
      <c r="D63" s="122">
        <v>6076</v>
      </c>
      <c r="E63" s="122" t="s">
        <v>206</v>
      </c>
      <c r="F63" s="122" t="s">
        <v>300</v>
      </c>
      <c r="G63" s="122" t="s">
        <v>294</v>
      </c>
      <c r="H63" s="122" t="s">
        <v>209</v>
      </c>
      <c r="I63" s="123">
        <v>2607</v>
      </c>
      <c r="J63" s="123">
        <v>13810</v>
      </c>
    </row>
    <row r="64" spans="1:10" x14ac:dyDescent="0.25">
      <c r="B64" s="122" t="s">
        <v>301</v>
      </c>
      <c r="C64" s="122" t="s">
        <v>205</v>
      </c>
      <c r="D64" s="122">
        <v>6128</v>
      </c>
      <c r="E64" s="122" t="s">
        <v>206</v>
      </c>
      <c r="F64" s="122" t="s">
        <v>302</v>
      </c>
      <c r="G64" s="122" t="s">
        <v>294</v>
      </c>
      <c r="H64" s="122" t="s">
        <v>209</v>
      </c>
      <c r="I64" s="123">
        <v>2682</v>
      </c>
      <c r="J64" s="123">
        <v>16492</v>
      </c>
    </row>
    <row r="65" spans="1:10" x14ac:dyDescent="0.25">
      <c r="B65" s="122" t="s">
        <v>301</v>
      </c>
      <c r="C65" s="122" t="s">
        <v>205</v>
      </c>
      <c r="D65" s="122">
        <v>6131</v>
      </c>
      <c r="E65" s="122" t="s">
        <v>206</v>
      </c>
      <c r="F65" s="122" t="s">
        <v>303</v>
      </c>
      <c r="G65" s="122" t="s">
        <v>294</v>
      </c>
      <c r="H65" s="122" t="s">
        <v>209</v>
      </c>
      <c r="I65" s="123">
        <v>58.34</v>
      </c>
      <c r="J65" s="123">
        <v>16550.34</v>
      </c>
    </row>
    <row r="66" spans="1:10" x14ac:dyDescent="0.25">
      <c r="B66" s="122" t="s">
        <v>304</v>
      </c>
      <c r="C66" s="122" t="s">
        <v>205</v>
      </c>
      <c r="D66" s="122">
        <v>6180</v>
      </c>
      <c r="E66" s="122" t="s">
        <v>206</v>
      </c>
      <c r="F66" s="122" t="s">
        <v>305</v>
      </c>
      <c r="G66" s="122" t="s">
        <v>294</v>
      </c>
      <c r="H66" s="122" t="s">
        <v>209</v>
      </c>
      <c r="I66" s="123">
        <v>2757</v>
      </c>
      <c r="J66" s="123">
        <v>19307.34</v>
      </c>
    </row>
    <row r="67" spans="1:10" x14ac:dyDescent="0.25">
      <c r="B67" s="122" t="s">
        <v>304</v>
      </c>
      <c r="C67" s="122" t="s">
        <v>205</v>
      </c>
      <c r="D67" s="122">
        <v>6184</v>
      </c>
      <c r="E67" s="122" t="s">
        <v>206</v>
      </c>
      <c r="F67" s="122" t="s">
        <v>306</v>
      </c>
      <c r="G67" s="122" t="s">
        <v>294</v>
      </c>
      <c r="H67" s="122" t="s">
        <v>209</v>
      </c>
      <c r="I67" s="123">
        <v>108.32</v>
      </c>
      <c r="J67" s="123">
        <v>19415.66</v>
      </c>
    </row>
    <row r="68" spans="1:10" x14ac:dyDescent="0.25">
      <c r="B68" s="122" t="s">
        <v>265</v>
      </c>
      <c r="C68" s="122" t="s">
        <v>205</v>
      </c>
      <c r="D68" s="122">
        <v>6240</v>
      </c>
      <c r="E68" s="122" t="s">
        <v>206</v>
      </c>
      <c r="F68" s="122" t="s">
        <v>307</v>
      </c>
      <c r="G68" s="122" t="s">
        <v>294</v>
      </c>
      <c r="H68" s="122" t="s">
        <v>209</v>
      </c>
      <c r="I68" s="123">
        <v>2682</v>
      </c>
      <c r="J68" s="123">
        <v>22097.66</v>
      </c>
    </row>
    <row r="69" spans="1:10" ht="23.25" x14ac:dyDescent="0.25">
      <c r="B69" s="122" t="s">
        <v>266</v>
      </c>
      <c r="C69" s="122" t="s">
        <v>205</v>
      </c>
      <c r="D69" s="122">
        <v>6261</v>
      </c>
      <c r="E69" s="122" t="s">
        <v>308</v>
      </c>
      <c r="F69" s="122" t="s">
        <v>309</v>
      </c>
      <c r="G69" s="122" t="s">
        <v>294</v>
      </c>
      <c r="H69" s="122" t="s">
        <v>209</v>
      </c>
      <c r="I69" s="123">
        <v>460</v>
      </c>
      <c r="J69" s="123">
        <v>22557.66</v>
      </c>
    </row>
    <row r="70" spans="1:10" x14ac:dyDescent="0.25">
      <c r="B70" s="122" t="s">
        <v>310</v>
      </c>
      <c r="C70" s="122" t="s">
        <v>205</v>
      </c>
      <c r="D70" s="122">
        <v>6297</v>
      </c>
      <c r="E70" s="122" t="s">
        <v>206</v>
      </c>
      <c r="F70" s="122" t="s">
        <v>311</v>
      </c>
      <c r="G70" s="122" t="s">
        <v>294</v>
      </c>
      <c r="H70" s="122" t="s">
        <v>209</v>
      </c>
      <c r="I70" s="123">
        <v>3332</v>
      </c>
      <c r="J70" s="123">
        <v>25889.66</v>
      </c>
    </row>
    <row r="71" spans="1:10" x14ac:dyDescent="0.25">
      <c r="B71" s="122" t="s">
        <v>310</v>
      </c>
      <c r="C71" s="122" t="s">
        <v>205</v>
      </c>
      <c r="D71" s="122">
        <v>6298</v>
      </c>
      <c r="E71" s="122" t="s">
        <v>206</v>
      </c>
      <c r="F71" s="122" t="s">
        <v>312</v>
      </c>
      <c r="G71" s="122" t="s">
        <v>294</v>
      </c>
      <c r="H71" s="122" t="s">
        <v>209</v>
      </c>
      <c r="I71" s="123">
        <v>70.010000000000005</v>
      </c>
      <c r="J71" s="123">
        <v>25959.67</v>
      </c>
    </row>
    <row r="72" spans="1:10" x14ac:dyDescent="0.25">
      <c r="B72" s="122" t="s">
        <v>313</v>
      </c>
      <c r="C72" s="122" t="s">
        <v>205</v>
      </c>
      <c r="D72" s="122">
        <v>6356</v>
      </c>
      <c r="E72" s="122" t="s">
        <v>206</v>
      </c>
      <c r="F72" s="122" t="s">
        <v>314</v>
      </c>
      <c r="G72" s="122" t="s">
        <v>294</v>
      </c>
      <c r="H72" s="122" t="s">
        <v>209</v>
      </c>
      <c r="I72" s="123">
        <v>2957</v>
      </c>
      <c r="J72" s="123">
        <v>28916.67</v>
      </c>
    </row>
    <row r="73" spans="1:10" x14ac:dyDescent="0.25">
      <c r="B73" s="122" t="s">
        <v>313</v>
      </c>
      <c r="C73" s="122" t="s">
        <v>205</v>
      </c>
      <c r="D73" s="122">
        <v>6364</v>
      </c>
      <c r="E73" s="122" t="s">
        <v>206</v>
      </c>
      <c r="F73" s="122" t="s">
        <v>315</v>
      </c>
      <c r="G73" s="122" t="s">
        <v>294</v>
      </c>
      <c r="H73" s="122" t="s">
        <v>209</v>
      </c>
      <c r="I73" s="123">
        <v>565.01</v>
      </c>
      <c r="J73" s="123">
        <v>29481.68</v>
      </c>
    </row>
    <row r="74" spans="1:10" x14ac:dyDescent="0.25">
      <c r="B74" s="122" t="s">
        <v>280</v>
      </c>
      <c r="C74" s="122" t="s">
        <v>205</v>
      </c>
      <c r="D74" s="122">
        <v>6390</v>
      </c>
      <c r="E74" s="122" t="s">
        <v>206</v>
      </c>
      <c r="F74" s="122" t="s">
        <v>316</v>
      </c>
      <c r="G74" s="122" t="s">
        <v>294</v>
      </c>
      <c r="H74" s="122" t="s">
        <v>209</v>
      </c>
      <c r="I74" s="123">
        <v>307.48</v>
      </c>
      <c r="J74" s="123">
        <v>29789.16</v>
      </c>
    </row>
    <row r="75" spans="1:10" ht="23.25" x14ac:dyDescent="0.25">
      <c r="A75" s="121" t="s">
        <v>317</v>
      </c>
    </row>
    <row r="76" spans="1:10" x14ac:dyDescent="0.25">
      <c r="A76" s="121" t="s">
        <v>318</v>
      </c>
    </row>
    <row r="77" spans="1:10" x14ac:dyDescent="0.25">
      <c r="A77" s="121" t="s">
        <v>319</v>
      </c>
    </row>
    <row r="78" spans="1:10" x14ac:dyDescent="0.25">
      <c r="A78" s="121" t="s">
        <v>287</v>
      </c>
    </row>
    <row r="82" spans="1:4" x14ac:dyDescent="0.25">
      <c r="B82" s="129" t="s">
        <v>320</v>
      </c>
      <c r="C82" s="119" t="s">
        <v>321</v>
      </c>
    </row>
    <row r="83" spans="1:4" x14ac:dyDescent="0.25">
      <c r="A83" s="119" t="s">
        <v>322</v>
      </c>
      <c r="B83" s="128">
        <f>SUM(I10,I15,I59:I68,I70:I74)/11*12</f>
        <v>38365.265454545457</v>
      </c>
      <c r="C83" s="131">
        <v>40000</v>
      </c>
    </row>
    <row r="84" spans="1:4" x14ac:dyDescent="0.25">
      <c r="A84" s="119" t="s">
        <v>214</v>
      </c>
      <c r="B84" s="130">
        <f>SUM(I12:I13,I18,I20,I23,I27,I30,I32,I34:I35,I37,I42,I44)/11*12</f>
        <v>16238.618181818185</v>
      </c>
      <c r="C84" s="131">
        <f>2500*2+1800</f>
        <v>6800</v>
      </c>
      <c r="D84" s="119" t="s">
        <v>323</v>
      </c>
    </row>
    <row r="85" spans="1:4" x14ac:dyDescent="0.25">
      <c r="A85" s="119" t="s">
        <v>324</v>
      </c>
      <c r="B85" s="128">
        <f>SUM(I16,I22,I25,I26,I29)</f>
        <v>360</v>
      </c>
      <c r="C85" s="131">
        <f>B85</f>
        <v>360</v>
      </c>
    </row>
    <row r="86" spans="1:4" x14ac:dyDescent="0.25">
      <c r="A86" s="119" t="s">
        <v>325</v>
      </c>
      <c r="B86" s="128">
        <f>I69</f>
        <v>460</v>
      </c>
      <c r="C86" s="131">
        <f t="shared" ref="C86:C93" si="0">B86</f>
        <v>460</v>
      </c>
    </row>
    <row r="87" spans="1:4" x14ac:dyDescent="0.25">
      <c r="A87" s="119" t="s">
        <v>326</v>
      </c>
      <c r="B87" s="128">
        <f>I14+I28</f>
        <v>15210.86</v>
      </c>
      <c r="C87" s="131">
        <f t="shared" si="0"/>
        <v>15210.86</v>
      </c>
    </row>
    <row r="88" spans="1:4" x14ac:dyDescent="0.25">
      <c r="A88" s="119" t="s">
        <v>228</v>
      </c>
      <c r="B88" s="128">
        <f>I19</f>
        <v>747</v>
      </c>
      <c r="C88" s="131">
        <f t="shared" si="0"/>
        <v>747</v>
      </c>
    </row>
    <row r="89" spans="1:4" x14ac:dyDescent="0.25">
      <c r="A89" s="119" t="s">
        <v>210</v>
      </c>
      <c r="B89" s="128">
        <f>I11</f>
        <v>550</v>
      </c>
      <c r="C89" s="131">
        <f t="shared" si="0"/>
        <v>550</v>
      </c>
    </row>
    <row r="90" spans="1:4" x14ac:dyDescent="0.25">
      <c r="A90" s="119" t="s">
        <v>238</v>
      </c>
      <c r="B90" s="128">
        <f>I24</f>
        <v>1512</v>
      </c>
      <c r="C90" s="131">
        <f t="shared" si="0"/>
        <v>1512</v>
      </c>
    </row>
    <row r="91" spans="1:4" x14ac:dyDescent="0.25">
      <c r="A91" s="119" t="s">
        <v>232</v>
      </c>
      <c r="B91" s="128">
        <f>I21</f>
        <v>895</v>
      </c>
      <c r="C91" s="131">
        <f t="shared" si="0"/>
        <v>895</v>
      </c>
    </row>
    <row r="92" spans="1:4" x14ac:dyDescent="0.25">
      <c r="A92" s="119" t="s">
        <v>327</v>
      </c>
      <c r="B92" s="128">
        <f>I17</f>
        <v>179.88</v>
      </c>
      <c r="C92" s="131">
        <f t="shared" si="0"/>
        <v>179.88</v>
      </c>
    </row>
    <row r="93" spans="1:4" x14ac:dyDescent="0.25">
      <c r="A93" s="119" t="s">
        <v>328</v>
      </c>
      <c r="B93" s="128">
        <f>I41</f>
        <v>75.41</v>
      </c>
      <c r="C93" s="131">
        <f t="shared" si="0"/>
        <v>75.41</v>
      </c>
    </row>
  </sheetData>
  <mergeCells count="4">
    <mergeCell ref="A1:J1"/>
    <mergeCell ref="A2:J2"/>
    <mergeCell ref="A3:J3"/>
    <mergeCell ref="A54:J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D164-C365-45ED-8EC1-185C2BCB1094}">
  <dimension ref="A2:H29"/>
  <sheetViews>
    <sheetView workbookViewId="0">
      <selection activeCell="A20" sqref="A20"/>
    </sheetView>
  </sheetViews>
  <sheetFormatPr defaultRowHeight="15" x14ac:dyDescent="0.25"/>
  <sheetData>
    <row r="2" spans="1:8" ht="21" x14ac:dyDescent="0.35">
      <c r="A2" s="133" t="s">
        <v>462</v>
      </c>
      <c r="B2" s="133"/>
      <c r="C2" s="133"/>
      <c r="D2" s="133"/>
    </row>
    <row r="4" spans="1:8" x14ac:dyDescent="0.25">
      <c r="A4" t="s">
        <v>464</v>
      </c>
    </row>
    <row r="6" spans="1:8" x14ac:dyDescent="0.25">
      <c r="A6" t="s">
        <v>463</v>
      </c>
      <c r="H6" t="s">
        <v>40</v>
      </c>
    </row>
    <row r="8" spans="1:8" x14ac:dyDescent="0.25">
      <c r="A8" t="s">
        <v>470</v>
      </c>
    </row>
    <row r="10" spans="1:8" x14ac:dyDescent="0.25">
      <c r="A10" t="s">
        <v>465</v>
      </c>
    </row>
    <row r="12" spans="1:8" x14ac:dyDescent="0.25">
      <c r="A12" t="s">
        <v>48</v>
      </c>
    </row>
    <row r="14" spans="1:8" x14ac:dyDescent="0.25">
      <c r="A14" t="s">
        <v>49</v>
      </c>
    </row>
    <row r="16" spans="1:8" x14ac:dyDescent="0.25">
      <c r="A16" t="s">
        <v>50</v>
      </c>
    </row>
    <row r="18" spans="1:1" x14ac:dyDescent="0.25">
      <c r="A18" t="s">
        <v>469</v>
      </c>
    </row>
    <row r="25" spans="1:1" ht="18.75" x14ac:dyDescent="0.3">
      <c r="A25" s="134" t="s">
        <v>51</v>
      </c>
    </row>
    <row r="29" spans="1:1" x14ac:dyDescent="0.25">
      <c r="A29" s="136"/>
    </row>
  </sheetData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52E4A-A33B-4B2C-81EB-A679FD4B415F}">
  <dimension ref="A1:C11"/>
  <sheetViews>
    <sheetView workbookViewId="0">
      <selection activeCell="I1" sqref="I1"/>
    </sheetView>
  </sheetViews>
  <sheetFormatPr defaultRowHeight="15" x14ac:dyDescent="0.25"/>
  <cols>
    <col min="1" max="3" width="16.5703125" customWidth="1"/>
  </cols>
  <sheetData>
    <row r="1" spans="1:3" ht="38.25" x14ac:dyDescent="0.25">
      <c r="A1" s="64" t="s">
        <v>52</v>
      </c>
      <c r="B1" s="65" t="s">
        <v>53</v>
      </c>
      <c r="C1" s="70" t="s">
        <v>54</v>
      </c>
    </row>
    <row r="2" spans="1:3" x14ac:dyDescent="0.25">
      <c r="A2" s="66" t="s">
        <v>55</v>
      </c>
      <c r="B2" s="67"/>
      <c r="C2" s="71">
        <v>35</v>
      </c>
    </row>
    <row r="3" spans="1:3" x14ac:dyDescent="0.25">
      <c r="A3" s="66">
        <v>1</v>
      </c>
      <c r="B3" s="67"/>
      <c r="C3" s="71">
        <v>35</v>
      </c>
    </row>
    <row r="4" spans="1:3" x14ac:dyDescent="0.25">
      <c r="A4" s="66">
        <v>2</v>
      </c>
      <c r="B4" s="67"/>
      <c r="C4" s="71">
        <v>35</v>
      </c>
    </row>
    <row r="5" spans="1:3" x14ac:dyDescent="0.25">
      <c r="A5" s="66">
        <v>3</v>
      </c>
      <c r="B5" s="67"/>
      <c r="C5" s="71">
        <v>35</v>
      </c>
    </row>
    <row r="6" spans="1:3" x14ac:dyDescent="0.25">
      <c r="A6" s="66">
        <v>4</v>
      </c>
      <c r="B6" s="67"/>
      <c r="C6" s="71">
        <v>35</v>
      </c>
    </row>
    <row r="7" spans="1:3" x14ac:dyDescent="0.25">
      <c r="A7" s="66">
        <v>5</v>
      </c>
      <c r="B7" s="67"/>
      <c r="C7" s="71">
        <v>30</v>
      </c>
    </row>
    <row r="8" spans="1:3" x14ac:dyDescent="0.25">
      <c r="A8" s="66">
        <v>6</v>
      </c>
      <c r="B8" s="67"/>
      <c r="C8" s="71">
        <v>35</v>
      </c>
    </row>
    <row r="9" spans="1:3" x14ac:dyDescent="0.25">
      <c r="A9" s="66">
        <v>7</v>
      </c>
      <c r="B9" s="67"/>
      <c r="C9" s="71">
        <v>34</v>
      </c>
    </row>
    <row r="10" spans="1:3" ht="15.75" thickBot="1" x14ac:dyDescent="0.3">
      <c r="A10" s="68">
        <v>8</v>
      </c>
      <c r="B10" s="69"/>
      <c r="C10" s="72">
        <v>34</v>
      </c>
    </row>
    <row r="11" spans="1:3" x14ac:dyDescent="0.25">
      <c r="A11" t="s">
        <v>56</v>
      </c>
      <c r="B11">
        <v>391</v>
      </c>
      <c r="C11">
        <f>SUM(C2:C10)</f>
        <v>308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A3C54-A157-47FF-9CBF-01697E49BBB3}">
  <sheetPr>
    <tabColor theme="9" tint="0.79998168889431442"/>
  </sheetPr>
  <dimension ref="A1:N26"/>
  <sheetViews>
    <sheetView workbookViewId="0">
      <selection activeCell="B18" sqref="B18"/>
    </sheetView>
  </sheetViews>
  <sheetFormatPr defaultRowHeight="15" x14ac:dyDescent="0.25"/>
  <cols>
    <col min="1" max="1" width="48.7109375" customWidth="1"/>
    <col min="2" max="2" width="17.85546875" style="33" customWidth="1"/>
    <col min="3" max="3" width="18.7109375" style="33" customWidth="1"/>
    <col min="4" max="4" width="14.28515625" style="33" bestFit="1" customWidth="1"/>
    <col min="5" max="5" width="15.42578125" style="33" customWidth="1"/>
    <col min="6" max="6" width="14.28515625" style="33" bestFit="1" customWidth="1"/>
    <col min="7" max="14" width="9.140625" style="33"/>
  </cols>
  <sheetData>
    <row r="1" spans="1:14" x14ac:dyDescent="0.25">
      <c r="B1" s="33" t="s">
        <v>57</v>
      </c>
    </row>
    <row r="2" spans="1:14" x14ac:dyDescent="0.25">
      <c r="A2" t="s">
        <v>58</v>
      </c>
      <c r="B2" s="33">
        <f>B6</f>
        <v>3727030.9937758199</v>
      </c>
    </row>
    <row r="3" spans="1:14" x14ac:dyDescent="0.25">
      <c r="A3" t="s">
        <v>59</v>
      </c>
      <c r="B3" s="33">
        <f>B12</f>
        <v>1457569.5899999999</v>
      </c>
    </row>
    <row r="4" spans="1:14" s="35" customFormat="1" x14ac:dyDescent="0.25">
      <c r="B4" s="54">
        <f>SUM(B2:B3)</f>
        <v>5184600.5837758202</v>
      </c>
      <c r="C4" s="54"/>
      <c r="D4" s="54"/>
      <c r="E4" s="54" t="s">
        <v>40</v>
      </c>
      <c r="F4" s="54"/>
      <c r="G4" s="54"/>
      <c r="H4" s="54"/>
      <c r="I4" s="54"/>
      <c r="J4" s="54"/>
      <c r="K4" s="54"/>
      <c r="L4" s="54"/>
      <c r="M4" s="54"/>
      <c r="N4" s="54"/>
    </row>
    <row r="5" spans="1:14" x14ac:dyDescent="0.25">
      <c r="H5" s="73"/>
    </row>
    <row r="6" spans="1:14" x14ac:dyDescent="0.25">
      <c r="A6" s="35" t="s">
        <v>60</v>
      </c>
      <c r="B6" s="54">
        <f>SUM(B7:B9)</f>
        <v>3727030.9937758199</v>
      </c>
      <c r="C6" s="33" t="s">
        <v>61</v>
      </c>
      <c r="D6" s="33" t="s">
        <v>475</v>
      </c>
      <c r="H6" s="73" t="s">
        <v>40</v>
      </c>
    </row>
    <row r="7" spans="1:14" x14ac:dyDescent="0.25">
      <c r="A7" s="55" t="s">
        <v>62</v>
      </c>
      <c r="B7" s="33">
        <f>C7*E7</f>
        <v>3773253.3472799999</v>
      </c>
      <c r="C7" s="139">
        <v>335.10599999999999</v>
      </c>
      <c r="D7" s="56">
        <v>296</v>
      </c>
      <c r="E7" s="199">
        <v>11259.88</v>
      </c>
      <c r="F7" s="33" t="s">
        <v>472</v>
      </c>
    </row>
    <row r="8" spans="1:14" x14ac:dyDescent="0.25">
      <c r="A8" s="55" t="s">
        <v>63</v>
      </c>
      <c r="B8" s="33">
        <f>B7*I8</f>
        <v>-92444.707008359866</v>
      </c>
      <c r="C8" s="33" t="s">
        <v>473</v>
      </c>
      <c r="D8" s="56"/>
      <c r="F8" s="57"/>
      <c r="I8" s="76">
        <f>0.9755-1</f>
        <v>-2.4499999999999966E-2</v>
      </c>
    </row>
    <row r="9" spans="1:14" x14ac:dyDescent="0.25">
      <c r="A9" s="55" t="s">
        <v>64</v>
      </c>
      <c r="B9" s="33">
        <f>B8/2*-1</f>
        <v>46222.353504179933</v>
      </c>
      <c r="C9" s="33" t="s">
        <v>65</v>
      </c>
    </row>
    <row r="10" spans="1:14" x14ac:dyDescent="0.25">
      <c r="G10" s="73"/>
    </row>
    <row r="12" spans="1:14" s="35" customFormat="1" x14ac:dyDescent="0.25">
      <c r="A12" s="35" t="s">
        <v>66</v>
      </c>
      <c r="B12" s="54">
        <f>SUM(B13:B23)</f>
        <v>1457569.5899999999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25">
      <c r="A13" s="55" t="s">
        <v>67</v>
      </c>
      <c r="B13" s="198">
        <v>65440</v>
      </c>
      <c r="C13" s="33" t="s">
        <v>68</v>
      </c>
      <c r="D13" s="33" t="s">
        <v>497</v>
      </c>
      <c r="E13" s="75"/>
    </row>
    <row r="14" spans="1:14" x14ac:dyDescent="0.25">
      <c r="A14" s="55" t="s">
        <v>69</v>
      </c>
      <c r="B14" s="198">
        <v>7425.42</v>
      </c>
      <c r="C14" s="33" t="s">
        <v>68</v>
      </c>
      <c r="D14" s="33" t="s">
        <v>498</v>
      </c>
    </row>
    <row r="15" spans="1:14" x14ac:dyDescent="0.25">
      <c r="A15" s="55" t="s">
        <v>70</v>
      </c>
      <c r="B15" s="198">
        <v>3043.04</v>
      </c>
      <c r="C15" s="33" t="s">
        <v>68</v>
      </c>
      <c r="D15" s="33" t="s">
        <v>499</v>
      </c>
    </row>
    <row r="16" spans="1:14" x14ac:dyDescent="0.25">
      <c r="A16" s="55" t="s">
        <v>71</v>
      </c>
      <c r="B16" s="198">
        <v>16918</v>
      </c>
      <c r="C16" s="33" t="s">
        <v>68</v>
      </c>
      <c r="D16" s="33" t="s">
        <v>500</v>
      </c>
    </row>
    <row r="17" spans="1:5" x14ac:dyDescent="0.25">
      <c r="A17" s="55" t="s">
        <v>502</v>
      </c>
      <c r="B17" s="198">
        <f>1005.5+78801</f>
        <v>79806.5</v>
      </c>
      <c r="D17" s="33" t="s">
        <v>501</v>
      </c>
    </row>
    <row r="18" spans="1:5" x14ac:dyDescent="0.25">
      <c r="A18" s="55" t="s">
        <v>479</v>
      </c>
      <c r="B18" s="198">
        <v>1865.63</v>
      </c>
      <c r="D18" s="33" t="s">
        <v>489</v>
      </c>
    </row>
    <row r="19" spans="1:5" x14ac:dyDescent="0.25">
      <c r="A19" s="55" t="s">
        <v>72</v>
      </c>
      <c r="B19" s="198">
        <v>50000</v>
      </c>
      <c r="D19" s="33" t="s">
        <v>480</v>
      </c>
    </row>
    <row r="20" spans="1:5" x14ac:dyDescent="0.25">
      <c r="A20" s="55" t="s">
        <v>488</v>
      </c>
      <c r="B20" s="198">
        <v>23680</v>
      </c>
      <c r="C20" s="135">
        <v>80</v>
      </c>
      <c r="D20" s="33" t="s">
        <v>499</v>
      </c>
    </row>
    <row r="21" spans="1:5" x14ac:dyDescent="0.25">
      <c r="A21" s="55" t="s">
        <v>73</v>
      </c>
      <c r="B21" s="198">
        <f>D7*C21</f>
        <v>116920</v>
      </c>
      <c r="C21" s="135">
        <v>395</v>
      </c>
      <c r="D21" s="33" t="s">
        <v>500</v>
      </c>
    </row>
    <row r="22" spans="1:5" x14ac:dyDescent="0.25">
      <c r="A22" s="55" t="s">
        <v>74</v>
      </c>
      <c r="B22" s="198">
        <v>1092471</v>
      </c>
      <c r="C22" s="33">
        <v>1175</v>
      </c>
      <c r="D22" s="33" t="s">
        <v>501</v>
      </c>
    </row>
    <row r="24" spans="1:5" x14ac:dyDescent="0.25">
      <c r="E24" s="33" t="s">
        <v>40</v>
      </c>
    </row>
    <row r="25" spans="1:5" x14ac:dyDescent="0.25">
      <c r="C25" s="33" t="s">
        <v>75</v>
      </c>
      <c r="D25" s="135">
        <v>360</v>
      </c>
      <c r="E25" s="33">
        <v>403</v>
      </c>
    </row>
    <row r="26" spans="1:5" x14ac:dyDescent="0.25">
      <c r="C26" s="33" t="s">
        <v>76</v>
      </c>
      <c r="D26" s="33">
        <v>1400</v>
      </c>
    </row>
  </sheetData>
  <phoneticPr fontId="12" type="noConversion"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012E-1233-41A0-8B2C-65F2F23C0636}">
  <sheetPr>
    <tabColor theme="9" tint="0.79998168889431442"/>
  </sheetPr>
  <dimension ref="A1:E10"/>
  <sheetViews>
    <sheetView zoomScale="110" zoomScaleNormal="110" workbookViewId="0">
      <selection activeCell="D11" sqref="D11"/>
    </sheetView>
  </sheetViews>
  <sheetFormatPr defaultRowHeight="15" x14ac:dyDescent="0.25"/>
  <cols>
    <col min="1" max="1" width="29.7109375" customWidth="1"/>
    <col min="2" max="2" width="15.5703125" style="33" customWidth="1"/>
    <col min="3" max="3" width="14.28515625" style="33" customWidth="1"/>
    <col min="4" max="4" width="34.140625" bestFit="1" customWidth="1"/>
    <col min="5" max="5" width="12.28515625" bestFit="1" customWidth="1"/>
  </cols>
  <sheetData>
    <row r="1" spans="1:5" x14ac:dyDescent="0.25">
      <c r="A1" t="s">
        <v>483</v>
      </c>
      <c r="B1" s="197" t="s">
        <v>57</v>
      </c>
      <c r="C1" s="197" t="s">
        <v>482</v>
      </c>
      <c r="D1" t="s">
        <v>484</v>
      </c>
    </row>
    <row r="2" spans="1:5" x14ac:dyDescent="0.25">
      <c r="A2" t="s">
        <v>77</v>
      </c>
      <c r="B2" s="73">
        <v>0</v>
      </c>
      <c r="C2" s="73"/>
      <c r="D2" t="s">
        <v>40</v>
      </c>
    </row>
    <row r="3" spans="1:5" x14ac:dyDescent="0.25">
      <c r="A3" t="s">
        <v>477</v>
      </c>
      <c r="B3" s="198">
        <v>64160</v>
      </c>
      <c r="C3" s="200">
        <v>4027</v>
      </c>
      <c r="D3" s="33" t="s">
        <v>504</v>
      </c>
    </row>
    <row r="4" spans="1:5" x14ac:dyDescent="0.25">
      <c r="A4" t="s">
        <v>490</v>
      </c>
      <c r="B4" s="198">
        <v>56398.5</v>
      </c>
      <c r="C4" s="200">
        <v>4010</v>
      </c>
      <c r="D4" s="33" t="s">
        <v>489</v>
      </c>
      <c r="E4" s="34"/>
    </row>
    <row r="5" spans="1:5" x14ac:dyDescent="0.25">
      <c r="A5" t="s">
        <v>478</v>
      </c>
      <c r="B5" s="198">
        <v>44545</v>
      </c>
      <c r="C5" s="200"/>
      <c r="D5" s="33" t="s">
        <v>489</v>
      </c>
      <c r="E5" s="34"/>
    </row>
    <row r="6" spans="1:5" x14ac:dyDescent="0.25">
      <c r="A6" t="s">
        <v>476</v>
      </c>
      <c r="B6" s="198">
        <v>604</v>
      </c>
      <c r="C6" s="200" t="s">
        <v>485</v>
      </c>
      <c r="D6" s="33" t="s">
        <v>489</v>
      </c>
      <c r="E6" s="34"/>
    </row>
    <row r="7" spans="1:5" x14ac:dyDescent="0.25">
      <c r="A7" t="s">
        <v>78</v>
      </c>
      <c r="B7" s="198">
        <v>3552</v>
      </c>
      <c r="C7" s="200">
        <v>4367</v>
      </c>
      <c r="D7" s="33" t="s">
        <v>504</v>
      </c>
      <c r="E7" s="34"/>
    </row>
    <row r="8" spans="1:5" x14ac:dyDescent="0.25">
      <c r="A8" t="s">
        <v>79</v>
      </c>
      <c r="B8" s="198">
        <v>3580</v>
      </c>
      <c r="C8" s="200">
        <v>4365</v>
      </c>
      <c r="D8" s="33" t="s">
        <v>505</v>
      </c>
      <c r="E8" s="34"/>
    </row>
    <row r="9" spans="1:5" x14ac:dyDescent="0.25">
      <c r="B9" s="33">
        <f>SUM(B2:B8)</f>
        <v>172839.5</v>
      </c>
      <c r="C9" s="73"/>
    </row>
    <row r="10" spans="1:5" x14ac:dyDescent="0.25">
      <c r="C10" s="73"/>
    </row>
  </sheetData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A00F-A831-411A-80AE-0300A82C3D21}">
  <dimension ref="A1:C6"/>
  <sheetViews>
    <sheetView workbookViewId="0">
      <selection activeCell="C25" sqref="C25"/>
    </sheetView>
  </sheetViews>
  <sheetFormatPr defaultRowHeight="15" x14ac:dyDescent="0.25"/>
  <cols>
    <col min="1" max="1" width="30.5703125" customWidth="1"/>
    <col min="2" max="2" width="14.42578125" style="33" customWidth="1"/>
    <col min="3" max="3" width="45.42578125" style="58" customWidth="1"/>
    <col min="5" max="5" width="19" bestFit="1" customWidth="1"/>
    <col min="6" max="6" width="19.85546875" bestFit="1" customWidth="1"/>
  </cols>
  <sheetData>
    <row r="1" spans="1:3" x14ac:dyDescent="0.25">
      <c r="A1" s="35" t="s">
        <v>4</v>
      </c>
    </row>
    <row r="2" spans="1:3" x14ac:dyDescent="0.25">
      <c r="B2" s="33" t="s">
        <v>57</v>
      </c>
      <c r="C2" s="58" t="s">
        <v>80</v>
      </c>
    </row>
    <row r="3" spans="1:3" x14ac:dyDescent="0.25">
      <c r="C3" s="58" t="s">
        <v>81</v>
      </c>
    </row>
    <row r="4" spans="1:3" x14ac:dyDescent="0.25">
      <c r="A4" t="s">
        <v>82</v>
      </c>
      <c r="B4" s="33" t="s">
        <v>40</v>
      </c>
      <c r="C4" s="58" t="s">
        <v>83</v>
      </c>
    </row>
    <row r="5" spans="1:3" x14ac:dyDescent="0.25">
      <c r="C5" s="58" t="s">
        <v>40</v>
      </c>
    </row>
    <row r="6" spans="1:3" ht="30" x14ac:dyDescent="0.25">
      <c r="C6" s="145" t="s">
        <v>329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7F8B-CEBD-4896-BBE2-A8FCE64CFCD3}">
  <sheetPr>
    <tabColor theme="5" tint="0.39997558519241921"/>
    <pageSetUpPr fitToPage="1"/>
  </sheetPr>
  <dimension ref="A1:AU83"/>
  <sheetViews>
    <sheetView topLeftCell="A34" zoomScale="85" zoomScaleNormal="85" workbookViewId="0">
      <selection activeCell="E62" sqref="E62"/>
    </sheetView>
  </sheetViews>
  <sheetFormatPr defaultRowHeight="15" x14ac:dyDescent="0.25"/>
  <cols>
    <col min="1" max="1" width="28.7109375" style="192" bestFit="1" customWidth="1"/>
    <col min="2" max="2" width="25.5703125" style="192" customWidth="1"/>
    <col min="3" max="3" width="13.85546875" customWidth="1"/>
    <col min="4" max="4" width="15.5703125" style="33" customWidth="1"/>
    <col min="5" max="5" width="20" style="59" bestFit="1" customWidth="1"/>
    <col min="6" max="6" width="33.42578125" style="160" customWidth="1"/>
    <col min="7" max="7" width="2.28515625" customWidth="1"/>
    <col min="8" max="8" width="15.28515625" style="59" customWidth="1"/>
    <col min="9" max="9" width="27.5703125" customWidth="1"/>
    <col min="10" max="10" width="10" bestFit="1" customWidth="1"/>
  </cols>
  <sheetData>
    <row r="1" spans="1:47" s="63" customFormat="1" ht="60" x14ac:dyDescent="0.25">
      <c r="A1" s="186" t="s">
        <v>439</v>
      </c>
      <c r="B1" s="186" t="s">
        <v>84</v>
      </c>
      <c r="C1" s="164" t="s">
        <v>440</v>
      </c>
      <c r="D1" s="168" t="s">
        <v>85</v>
      </c>
      <c r="E1" s="165" t="s">
        <v>441</v>
      </c>
      <c r="F1" s="179" t="s">
        <v>86</v>
      </c>
      <c r="H1" s="174" t="s">
        <v>438</v>
      </c>
      <c r="I1" s="63" t="s">
        <v>461</v>
      </c>
      <c r="J1" s="63" t="s">
        <v>466</v>
      </c>
    </row>
    <row r="2" spans="1:47" ht="5.25" customHeight="1" x14ac:dyDescent="0.25">
      <c r="A2" s="187"/>
      <c r="B2" s="187"/>
      <c r="C2" s="181"/>
      <c r="D2" s="182"/>
      <c r="E2" s="180"/>
      <c r="F2" s="183"/>
      <c r="G2" s="184"/>
      <c r="H2" s="185"/>
      <c r="I2" s="184"/>
    </row>
    <row r="3" spans="1:47" s="77" customFormat="1" x14ac:dyDescent="0.25">
      <c r="A3" s="173" t="s">
        <v>367</v>
      </c>
      <c r="B3" s="173" t="s">
        <v>371</v>
      </c>
      <c r="C3" s="161"/>
      <c r="D3" s="167"/>
      <c r="E3" s="166">
        <v>46000</v>
      </c>
      <c r="F3" s="175" t="s">
        <v>458</v>
      </c>
      <c r="G3"/>
      <c r="H3" s="62">
        <f>E3*1.23</f>
        <v>56580</v>
      </c>
      <c r="I3" s="172">
        <f>H3-E3</f>
        <v>10580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77" customFormat="1" x14ac:dyDescent="0.25">
      <c r="A4" s="173" t="s">
        <v>369</v>
      </c>
      <c r="B4" s="173" t="s">
        <v>371</v>
      </c>
      <c r="C4" s="161"/>
      <c r="D4" s="167"/>
      <c r="E4" s="166">
        <v>43000</v>
      </c>
      <c r="F4" s="175"/>
      <c r="G4"/>
      <c r="H4" s="62">
        <f t="shared" ref="H4:H60" si="0">E4*1.23</f>
        <v>52890</v>
      </c>
      <c r="I4" s="172">
        <f t="shared" ref="I4:I60" si="1">H4-E4</f>
        <v>9890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s="77" customFormat="1" x14ac:dyDescent="0.25">
      <c r="A5" s="201" t="s">
        <v>370</v>
      </c>
      <c r="B5" s="173" t="s">
        <v>371</v>
      </c>
      <c r="C5" s="161"/>
      <c r="D5" s="167"/>
      <c r="E5" s="166">
        <v>43000</v>
      </c>
      <c r="F5" s="175"/>
      <c r="G5"/>
      <c r="H5" s="62">
        <f t="shared" si="0"/>
        <v>52890</v>
      </c>
      <c r="I5" s="172">
        <f t="shared" si="1"/>
        <v>9890</v>
      </c>
      <c r="J5">
        <v>300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s="77" customFormat="1" x14ac:dyDescent="0.25">
      <c r="A6" s="173" t="s">
        <v>372</v>
      </c>
      <c r="B6" s="173" t="s">
        <v>371</v>
      </c>
      <c r="C6" s="161"/>
      <c r="D6" s="167"/>
      <c r="E6" s="166">
        <v>43000</v>
      </c>
      <c r="F6" s="175"/>
      <c r="G6"/>
      <c r="H6" s="62">
        <f t="shared" si="0"/>
        <v>52890</v>
      </c>
      <c r="I6" s="172">
        <f t="shared" si="1"/>
        <v>9890</v>
      </c>
      <c r="J6">
        <v>300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s="77" customFormat="1" x14ac:dyDescent="0.25">
      <c r="A7" s="173" t="s">
        <v>373</v>
      </c>
      <c r="B7" s="173" t="s">
        <v>368</v>
      </c>
      <c r="C7" s="161"/>
      <c r="D7" s="167"/>
      <c r="E7" s="166">
        <v>44500</v>
      </c>
      <c r="F7" s="175" t="s">
        <v>458</v>
      </c>
      <c r="G7"/>
      <c r="H7" s="62">
        <f t="shared" si="0"/>
        <v>54735</v>
      </c>
      <c r="I7" s="172">
        <f t="shared" si="1"/>
        <v>10235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s="77" customFormat="1" x14ac:dyDescent="0.25">
      <c r="A8" s="173" t="s">
        <v>374</v>
      </c>
      <c r="B8" s="173" t="s">
        <v>371</v>
      </c>
      <c r="C8" s="161"/>
      <c r="D8" s="167"/>
      <c r="E8" s="166">
        <v>43000</v>
      </c>
      <c r="F8" s="175"/>
      <c r="G8"/>
      <c r="H8" s="62">
        <f t="shared" si="0"/>
        <v>52890</v>
      </c>
      <c r="I8" s="172">
        <f t="shared" si="1"/>
        <v>9890</v>
      </c>
      <c r="J8">
        <v>300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s="77" customFormat="1" x14ac:dyDescent="0.25">
      <c r="A9" s="201" t="s">
        <v>375</v>
      </c>
      <c r="B9" s="173" t="s">
        <v>371</v>
      </c>
      <c r="C9" s="161"/>
      <c r="D9" s="167"/>
      <c r="E9" s="166">
        <v>46000</v>
      </c>
      <c r="F9" s="175" t="s">
        <v>458</v>
      </c>
      <c r="G9"/>
      <c r="H9" s="62">
        <f t="shared" si="0"/>
        <v>56580</v>
      </c>
      <c r="I9" s="172">
        <f t="shared" si="1"/>
        <v>10580</v>
      </c>
      <c r="J9">
        <v>300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s="77" customFormat="1" x14ac:dyDescent="0.25">
      <c r="A10" s="173" t="s">
        <v>376</v>
      </c>
      <c r="B10" s="173" t="s">
        <v>371</v>
      </c>
      <c r="C10" s="161"/>
      <c r="D10" s="167"/>
      <c r="E10" s="166">
        <v>45000</v>
      </c>
      <c r="F10" s="175" t="s">
        <v>486</v>
      </c>
      <c r="G10"/>
      <c r="H10" s="62">
        <f t="shared" si="0"/>
        <v>55350</v>
      </c>
      <c r="I10" s="172">
        <f t="shared" si="1"/>
        <v>10350</v>
      </c>
      <c r="J10">
        <v>300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s="77" customFormat="1" x14ac:dyDescent="0.25">
      <c r="A11" s="173" t="s">
        <v>377</v>
      </c>
      <c r="B11" s="173" t="s">
        <v>371</v>
      </c>
      <c r="C11" s="161"/>
      <c r="D11" s="167"/>
      <c r="E11" s="166">
        <v>44000</v>
      </c>
      <c r="F11" s="175" t="s">
        <v>486</v>
      </c>
      <c r="G11"/>
      <c r="H11" s="62">
        <f t="shared" si="0"/>
        <v>54120</v>
      </c>
      <c r="I11" s="172">
        <f t="shared" si="1"/>
        <v>10120</v>
      </c>
      <c r="J11">
        <v>49.64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s="77" customFormat="1" x14ac:dyDescent="0.25">
      <c r="A12" s="173" t="s">
        <v>378</v>
      </c>
      <c r="B12" s="173" t="s">
        <v>371</v>
      </c>
      <c r="C12" s="161"/>
      <c r="D12" s="167"/>
      <c r="E12" s="166">
        <v>46000</v>
      </c>
      <c r="F12" s="175" t="s">
        <v>458</v>
      </c>
      <c r="G12"/>
      <c r="H12" s="62">
        <f t="shared" si="0"/>
        <v>56580</v>
      </c>
      <c r="I12" s="172">
        <f t="shared" si="1"/>
        <v>10580</v>
      </c>
      <c r="J12">
        <v>300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s="77" customFormat="1" x14ac:dyDescent="0.25">
      <c r="A13" s="173" t="s">
        <v>379</v>
      </c>
      <c r="B13" s="173" t="s">
        <v>371</v>
      </c>
      <c r="C13" s="161"/>
      <c r="D13" s="167"/>
      <c r="E13" s="166">
        <v>43000</v>
      </c>
      <c r="F13" s="175"/>
      <c r="G13"/>
      <c r="H13" s="62">
        <f t="shared" si="0"/>
        <v>52890</v>
      </c>
      <c r="I13" s="172">
        <f t="shared" si="1"/>
        <v>9890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s="77" customFormat="1" x14ac:dyDescent="0.25">
      <c r="A14" s="173" t="s">
        <v>380</v>
      </c>
      <c r="B14" s="173" t="s">
        <v>368</v>
      </c>
      <c r="C14" s="161"/>
      <c r="D14" s="167"/>
      <c r="E14" s="166">
        <v>50000</v>
      </c>
      <c r="F14" s="175" t="s">
        <v>458</v>
      </c>
      <c r="G14"/>
      <c r="H14" s="62">
        <f t="shared" si="0"/>
        <v>61500</v>
      </c>
      <c r="I14" s="172">
        <f t="shared" si="1"/>
        <v>11500</v>
      </c>
      <c r="J14">
        <v>252.33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77" customFormat="1" x14ac:dyDescent="0.25">
      <c r="A15" s="173" t="s">
        <v>443</v>
      </c>
      <c r="B15" s="173" t="s">
        <v>371</v>
      </c>
      <c r="C15" s="161"/>
      <c r="D15" s="167"/>
      <c r="E15" s="166">
        <v>43000</v>
      </c>
      <c r="F15" s="175"/>
      <c r="G15"/>
      <c r="H15" s="62">
        <f t="shared" si="0"/>
        <v>52890</v>
      </c>
      <c r="I15" s="172">
        <f t="shared" si="1"/>
        <v>9890</v>
      </c>
      <c r="J15"/>
      <c r="K15"/>
      <c r="L15"/>
      <c r="M15"/>
      <c r="N15"/>
      <c r="O15" s="203"/>
      <c r="P15" t="s">
        <v>487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s="77" customFormat="1" x14ac:dyDescent="0.25">
      <c r="A16" s="173" t="s">
        <v>381</v>
      </c>
      <c r="B16" s="173" t="s">
        <v>368</v>
      </c>
      <c r="C16" s="161"/>
      <c r="D16" s="167"/>
      <c r="E16" s="166">
        <v>45000</v>
      </c>
      <c r="F16" s="175" t="s">
        <v>458</v>
      </c>
      <c r="G16"/>
      <c r="H16" s="62">
        <f t="shared" si="0"/>
        <v>55350</v>
      </c>
      <c r="I16" s="172">
        <f t="shared" si="1"/>
        <v>10350</v>
      </c>
      <c r="J16">
        <v>300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10" x14ac:dyDescent="0.25">
      <c r="A17" s="173" t="s">
        <v>382</v>
      </c>
      <c r="B17" s="173" t="s">
        <v>371</v>
      </c>
      <c r="C17" s="161"/>
      <c r="D17" s="167"/>
      <c r="E17" s="166">
        <v>50000</v>
      </c>
      <c r="F17" s="175" t="s">
        <v>458</v>
      </c>
      <c r="H17" s="62">
        <f t="shared" si="0"/>
        <v>61500</v>
      </c>
      <c r="I17" s="172">
        <f t="shared" si="1"/>
        <v>11500</v>
      </c>
      <c r="J17">
        <v>238.39</v>
      </c>
    </row>
    <row r="18" spans="1:10" x14ac:dyDescent="0.25">
      <c r="A18" s="173" t="s">
        <v>444</v>
      </c>
      <c r="B18" s="173" t="s">
        <v>368</v>
      </c>
      <c r="C18" s="161"/>
      <c r="D18" s="167"/>
      <c r="E18" s="166">
        <v>49000</v>
      </c>
      <c r="F18" s="175"/>
      <c r="H18" s="62">
        <f t="shared" si="0"/>
        <v>60270</v>
      </c>
      <c r="I18" s="172">
        <f t="shared" si="1"/>
        <v>11270</v>
      </c>
      <c r="J18">
        <v>238.39</v>
      </c>
    </row>
    <row r="19" spans="1:10" x14ac:dyDescent="0.25">
      <c r="A19" s="173" t="s">
        <v>383</v>
      </c>
      <c r="B19" s="173" t="s">
        <v>368</v>
      </c>
      <c r="C19" s="161"/>
      <c r="D19" s="167"/>
      <c r="E19" s="166">
        <v>50000</v>
      </c>
      <c r="F19" s="175" t="s">
        <v>458</v>
      </c>
      <c r="H19" s="62">
        <f t="shared" si="0"/>
        <v>61500</v>
      </c>
      <c r="I19" s="172">
        <f t="shared" si="1"/>
        <v>11500</v>
      </c>
      <c r="J19">
        <v>238.39</v>
      </c>
    </row>
    <row r="20" spans="1:10" x14ac:dyDescent="0.25">
      <c r="A20" s="173" t="s">
        <v>384</v>
      </c>
      <c r="B20" s="173" t="s">
        <v>371</v>
      </c>
      <c r="C20" s="161"/>
      <c r="D20" s="167"/>
      <c r="E20" s="166">
        <v>44000</v>
      </c>
      <c r="F20" s="175" t="s">
        <v>458</v>
      </c>
      <c r="H20" s="62">
        <f t="shared" si="0"/>
        <v>54120</v>
      </c>
      <c r="I20" s="172">
        <f t="shared" si="1"/>
        <v>10120</v>
      </c>
      <c r="J20">
        <v>300</v>
      </c>
    </row>
    <row r="21" spans="1:10" x14ac:dyDescent="0.25">
      <c r="A21" s="173" t="s">
        <v>385</v>
      </c>
      <c r="B21" s="173" t="s">
        <v>386</v>
      </c>
      <c r="C21" s="161"/>
      <c r="D21" s="167"/>
      <c r="E21" s="166">
        <v>43000</v>
      </c>
      <c r="F21" s="175"/>
      <c r="H21" s="62">
        <f t="shared" si="0"/>
        <v>52890</v>
      </c>
      <c r="I21" s="172">
        <f t="shared" si="1"/>
        <v>9890</v>
      </c>
      <c r="J21">
        <v>42.36</v>
      </c>
    </row>
    <row r="22" spans="1:10" x14ac:dyDescent="0.25">
      <c r="A22" s="173" t="s">
        <v>387</v>
      </c>
      <c r="B22" s="173" t="s">
        <v>388</v>
      </c>
      <c r="C22" s="161"/>
      <c r="D22" s="166"/>
      <c r="E22" s="166">
        <v>43000</v>
      </c>
      <c r="F22" s="175"/>
      <c r="H22" s="62">
        <f t="shared" si="0"/>
        <v>52890</v>
      </c>
      <c r="I22" s="172">
        <f t="shared" si="1"/>
        <v>9890</v>
      </c>
      <c r="J22">
        <v>22.24</v>
      </c>
    </row>
    <row r="23" spans="1:10" x14ac:dyDescent="0.25">
      <c r="A23" s="201" t="s">
        <v>389</v>
      </c>
      <c r="B23" s="188" t="s">
        <v>390</v>
      </c>
      <c r="C23" s="161"/>
      <c r="D23" s="196"/>
      <c r="E23" s="166">
        <v>43000</v>
      </c>
      <c r="F23" s="175"/>
      <c r="H23" s="62">
        <f t="shared" si="0"/>
        <v>52890</v>
      </c>
      <c r="I23" s="172">
        <f t="shared" si="1"/>
        <v>9890</v>
      </c>
      <c r="J23">
        <v>151.6</v>
      </c>
    </row>
    <row r="24" spans="1:10" x14ac:dyDescent="0.25">
      <c r="A24" s="202" t="s">
        <v>391</v>
      </c>
      <c r="B24" s="189" t="s">
        <v>392</v>
      </c>
      <c r="C24" s="161"/>
      <c r="D24" s="166"/>
      <c r="E24" s="166">
        <v>43000</v>
      </c>
      <c r="F24" s="175"/>
      <c r="H24" s="62">
        <f t="shared" si="0"/>
        <v>52890</v>
      </c>
      <c r="I24" s="172">
        <f t="shared" si="1"/>
        <v>9890</v>
      </c>
      <c r="J24">
        <v>151.6</v>
      </c>
    </row>
    <row r="25" spans="1:10" x14ac:dyDescent="0.25">
      <c r="A25" s="188" t="s">
        <v>393</v>
      </c>
      <c r="B25" s="188" t="s">
        <v>445</v>
      </c>
      <c r="C25" s="161"/>
      <c r="D25" s="196"/>
      <c r="E25" s="166">
        <v>46000</v>
      </c>
      <c r="F25" s="175" t="s">
        <v>486</v>
      </c>
      <c r="H25" s="62">
        <f t="shared" si="0"/>
        <v>56580</v>
      </c>
      <c r="I25" s="172">
        <f t="shared" si="1"/>
        <v>10580</v>
      </c>
    </row>
    <row r="26" spans="1:10" x14ac:dyDescent="0.25">
      <c r="A26" s="173" t="s">
        <v>394</v>
      </c>
      <c r="B26" s="173" t="s">
        <v>395</v>
      </c>
      <c r="C26" s="161">
        <v>103.06</v>
      </c>
      <c r="D26" s="166">
        <v>24</v>
      </c>
      <c r="E26" s="166">
        <f>SUM(C26*D26*10)</f>
        <v>24734.400000000001</v>
      </c>
      <c r="F26" s="175" t="s">
        <v>459</v>
      </c>
      <c r="H26" s="62">
        <f t="shared" si="0"/>
        <v>30423.312000000002</v>
      </c>
      <c r="I26" s="172">
        <f t="shared" si="1"/>
        <v>5688.9120000000003</v>
      </c>
    </row>
    <row r="27" spans="1:10" x14ac:dyDescent="0.25">
      <c r="A27" s="173" t="s">
        <v>396</v>
      </c>
      <c r="B27" s="173" t="s">
        <v>397</v>
      </c>
      <c r="C27" s="161">
        <v>95.57</v>
      </c>
      <c r="D27" s="166">
        <v>24</v>
      </c>
      <c r="E27" s="166">
        <f t="shared" ref="E27:E36" si="2">SUM(C27*D27*10)</f>
        <v>22936.799999999999</v>
      </c>
      <c r="F27" s="175" t="s">
        <v>459</v>
      </c>
      <c r="H27" s="62">
        <f t="shared" si="0"/>
        <v>28212.263999999999</v>
      </c>
      <c r="I27" s="172">
        <f t="shared" si="1"/>
        <v>5275.4639999999999</v>
      </c>
    </row>
    <row r="28" spans="1:10" x14ac:dyDescent="0.25">
      <c r="A28" s="193"/>
      <c r="B28" s="188" t="s">
        <v>398</v>
      </c>
      <c r="C28" s="161">
        <v>84.62</v>
      </c>
      <c r="D28" s="196">
        <v>18</v>
      </c>
      <c r="E28" s="166">
        <f t="shared" si="2"/>
        <v>15231.6</v>
      </c>
      <c r="F28" s="175"/>
      <c r="H28" s="62">
        <f t="shared" si="0"/>
        <v>18734.867999999999</v>
      </c>
      <c r="I28" s="172">
        <f t="shared" si="1"/>
        <v>3503.2679999999982</v>
      </c>
    </row>
    <row r="29" spans="1:10" x14ac:dyDescent="0.25">
      <c r="A29" s="188" t="s">
        <v>399</v>
      </c>
      <c r="B29" s="188" t="s">
        <v>400</v>
      </c>
      <c r="C29" s="161"/>
      <c r="D29" s="196"/>
      <c r="E29" s="166">
        <f t="shared" si="2"/>
        <v>0</v>
      </c>
      <c r="F29" s="175" t="s">
        <v>442</v>
      </c>
      <c r="H29" s="62">
        <f t="shared" si="0"/>
        <v>0</v>
      </c>
      <c r="I29" s="172">
        <f t="shared" si="1"/>
        <v>0</v>
      </c>
    </row>
    <row r="30" spans="1:10" x14ac:dyDescent="0.25">
      <c r="A30" s="173" t="s">
        <v>446</v>
      </c>
      <c r="B30" s="173" t="s">
        <v>447</v>
      </c>
      <c r="C30" s="161">
        <v>144.02000000000001</v>
      </c>
      <c r="D30" s="196">
        <v>18</v>
      </c>
      <c r="E30" s="166">
        <f t="shared" si="2"/>
        <v>25923.600000000002</v>
      </c>
      <c r="F30" s="176" t="s">
        <v>459</v>
      </c>
      <c r="H30" s="62">
        <f t="shared" si="0"/>
        <v>31886.028000000002</v>
      </c>
      <c r="I30" s="172">
        <f t="shared" si="1"/>
        <v>5962.4279999999999</v>
      </c>
    </row>
    <row r="31" spans="1:10" x14ac:dyDescent="0.25">
      <c r="A31" s="194"/>
      <c r="B31" s="189" t="s">
        <v>447</v>
      </c>
      <c r="C31" s="161">
        <v>77.900000000000006</v>
      </c>
      <c r="D31" s="196">
        <v>18</v>
      </c>
      <c r="E31" s="166">
        <f t="shared" si="2"/>
        <v>14022</v>
      </c>
      <c r="F31" s="175" t="s">
        <v>459</v>
      </c>
      <c r="H31" s="62">
        <f t="shared" si="0"/>
        <v>17247.060000000001</v>
      </c>
      <c r="I31" s="172">
        <f t="shared" si="1"/>
        <v>3225.0600000000013</v>
      </c>
    </row>
    <row r="32" spans="1:10" x14ac:dyDescent="0.25">
      <c r="A32" s="188" t="s">
        <v>448</v>
      </c>
      <c r="B32" s="188" t="s">
        <v>447</v>
      </c>
      <c r="C32" s="161">
        <v>129.34</v>
      </c>
      <c r="D32" s="196">
        <v>18</v>
      </c>
      <c r="E32" s="166">
        <f t="shared" si="2"/>
        <v>23281.199999999997</v>
      </c>
      <c r="F32" s="175" t="s">
        <v>459</v>
      </c>
      <c r="H32" s="62">
        <f t="shared" si="0"/>
        <v>28635.875999999997</v>
      </c>
      <c r="I32" s="172">
        <f t="shared" si="1"/>
        <v>5354.6759999999995</v>
      </c>
    </row>
    <row r="33" spans="1:10" x14ac:dyDescent="0.25">
      <c r="A33" s="201" t="s">
        <v>401</v>
      </c>
      <c r="B33" s="173" t="s">
        <v>447</v>
      </c>
      <c r="C33" s="161">
        <v>123.87</v>
      </c>
      <c r="D33" s="196">
        <v>18</v>
      </c>
      <c r="E33" s="166">
        <f t="shared" si="2"/>
        <v>22296.6</v>
      </c>
      <c r="F33" s="175" t="s">
        <v>459</v>
      </c>
      <c r="H33" s="62">
        <f t="shared" si="0"/>
        <v>27424.817999999999</v>
      </c>
      <c r="I33" s="172">
        <f t="shared" si="1"/>
        <v>5128.2180000000008</v>
      </c>
      <c r="J33">
        <v>300</v>
      </c>
    </row>
    <row r="34" spans="1:10" x14ac:dyDescent="0.25">
      <c r="A34" s="173" t="s">
        <v>402</v>
      </c>
      <c r="B34" s="173" t="s">
        <v>447</v>
      </c>
      <c r="C34" s="161">
        <v>133.51</v>
      </c>
      <c r="D34" s="196">
        <v>18</v>
      </c>
      <c r="E34" s="166">
        <f t="shared" si="2"/>
        <v>24031.8</v>
      </c>
      <c r="F34" s="175" t="s">
        <v>459</v>
      </c>
      <c r="H34" s="62">
        <f t="shared" si="0"/>
        <v>29559.113999999998</v>
      </c>
      <c r="I34" s="172">
        <f t="shared" si="1"/>
        <v>5527.3139999999985</v>
      </c>
    </row>
    <row r="35" spans="1:10" x14ac:dyDescent="0.25">
      <c r="A35" s="189" t="s">
        <v>403</v>
      </c>
      <c r="B35" s="189" t="s">
        <v>447</v>
      </c>
      <c r="C35" s="161">
        <v>144.15</v>
      </c>
      <c r="D35" s="196">
        <v>18</v>
      </c>
      <c r="E35" s="166">
        <f t="shared" si="2"/>
        <v>25947.000000000004</v>
      </c>
      <c r="F35" s="175" t="s">
        <v>459</v>
      </c>
      <c r="H35" s="62">
        <f t="shared" si="0"/>
        <v>31914.810000000005</v>
      </c>
      <c r="I35" s="172">
        <f t="shared" si="1"/>
        <v>5967.8100000000013</v>
      </c>
      <c r="J35">
        <v>103.16</v>
      </c>
    </row>
    <row r="36" spans="1:10" x14ac:dyDescent="0.25">
      <c r="A36" s="188" t="s">
        <v>404</v>
      </c>
      <c r="B36" s="188" t="s">
        <v>447</v>
      </c>
      <c r="C36" s="161">
        <v>48.75</v>
      </c>
      <c r="D36" s="196">
        <v>18</v>
      </c>
      <c r="E36" s="166">
        <f t="shared" si="2"/>
        <v>8775</v>
      </c>
      <c r="F36" s="175" t="s">
        <v>459</v>
      </c>
      <c r="H36" s="62">
        <f t="shared" si="0"/>
        <v>10793.25</v>
      </c>
      <c r="I36" s="172">
        <f t="shared" si="1"/>
        <v>2018.25</v>
      </c>
    </row>
    <row r="37" spans="1:10" x14ac:dyDescent="0.25">
      <c r="A37" s="188" t="s">
        <v>405</v>
      </c>
      <c r="B37" s="188" t="s">
        <v>447</v>
      </c>
      <c r="C37" s="161"/>
      <c r="D37" s="196"/>
      <c r="E37" s="166">
        <v>39000</v>
      </c>
      <c r="F37" s="175" t="s">
        <v>449</v>
      </c>
      <c r="H37" s="62">
        <f t="shared" si="0"/>
        <v>47970</v>
      </c>
      <c r="I37" s="172">
        <f t="shared" si="1"/>
        <v>8970</v>
      </c>
      <c r="J37">
        <v>300</v>
      </c>
    </row>
    <row r="38" spans="1:10" x14ac:dyDescent="0.25">
      <c r="A38" s="188" t="s">
        <v>406</v>
      </c>
      <c r="B38" s="188" t="s">
        <v>447</v>
      </c>
      <c r="C38" s="161">
        <v>128.69999999999999</v>
      </c>
      <c r="D38" s="196">
        <v>18</v>
      </c>
      <c r="E38" s="166">
        <f>SUM(C38*D38*10)</f>
        <v>23166</v>
      </c>
      <c r="F38" s="175" t="s">
        <v>459</v>
      </c>
      <c r="H38" s="62">
        <f t="shared" si="0"/>
        <v>28494.18</v>
      </c>
      <c r="I38" s="172">
        <f t="shared" si="1"/>
        <v>5328.18</v>
      </c>
    </row>
    <row r="39" spans="1:10" x14ac:dyDescent="0.25">
      <c r="A39" s="193"/>
      <c r="B39" s="188" t="s">
        <v>447</v>
      </c>
      <c r="C39" s="161">
        <v>95.41</v>
      </c>
      <c r="D39" s="196">
        <v>18</v>
      </c>
      <c r="E39" s="166">
        <f t="shared" ref="E39:E45" si="3">SUM(C39*D39*10)</f>
        <v>17173.8</v>
      </c>
      <c r="F39" s="175" t="s">
        <v>459</v>
      </c>
      <c r="H39" s="62">
        <f t="shared" si="0"/>
        <v>21123.773999999998</v>
      </c>
      <c r="I39" s="172">
        <f t="shared" si="1"/>
        <v>3949.9739999999983</v>
      </c>
    </row>
    <row r="40" spans="1:10" x14ac:dyDescent="0.25">
      <c r="A40" s="188" t="s">
        <v>407</v>
      </c>
      <c r="B40" s="188" t="s">
        <v>408</v>
      </c>
      <c r="C40" s="163">
        <v>5.04</v>
      </c>
      <c r="D40" s="188">
        <v>55</v>
      </c>
      <c r="E40" s="166">
        <f t="shared" si="3"/>
        <v>2772</v>
      </c>
      <c r="F40" s="175" t="s">
        <v>460</v>
      </c>
      <c r="H40" s="62">
        <f t="shared" si="0"/>
        <v>3409.56</v>
      </c>
      <c r="I40" s="172">
        <f t="shared" si="1"/>
        <v>637.55999999999995</v>
      </c>
    </row>
    <row r="41" spans="1:10" x14ac:dyDescent="0.25">
      <c r="A41" s="188" t="s">
        <v>409</v>
      </c>
      <c r="B41" s="188" t="s">
        <v>410</v>
      </c>
      <c r="C41" s="161">
        <v>93.45</v>
      </c>
      <c r="D41" s="196">
        <v>40</v>
      </c>
      <c r="E41" s="166">
        <f t="shared" si="3"/>
        <v>37380</v>
      </c>
      <c r="F41" s="175" t="s">
        <v>460</v>
      </c>
      <c r="H41" s="62">
        <f t="shared" si="0"/>
        <v>45977.4</v>
      </c>
      <c r="I41" s="172">
        <f t="shared" si="1"/>
        <v>8597.4000000000015</v>
      </c>
    </row>
    <row r="42" spans="1:10" x14ac:dyDescent="0.25">
      <c r="A42" s="188" t="s">
        <v>411</v>
      </c>
      <c r="B42" s="188" t="s">
        <v>412</v>
      </c>
      <c r="C42" s="161">
        <v>120.6</v>
      </c>
      <c r="D42" s="196">
        <v>18</v>
      </c>
      <c r="E42" s="166">
        <f t="shared" si="3"/>
        <v>21707.999999999996</v>
      </c>
      <c r="F42" s="175" t="s">
        <v>459</v>
      </c>
      <c r="H42" s="62">
        <f t="shared" si="0"/>
        <v>26700.839999999997</v>
      </c>
      <c r="I42" s="172">
        <f t="shared" si="1"/>
        <v>4992.84</v>
      </c>
      <c r="J42">
        <v>300</v>
      </c>
    </row>
    <row r="43" spans="1:10" x14ac:dyDescent="0.25">
      <c r="A43" s="173" t="s">
        <v>413</v>
      </c>
      <c r="B43" s="173" t="s">
        <v>414</v>
      </c>
      <c r="C43" s="161">
        <v>107.75</v>
      </c>
      <c r="D43" s="166">
        <v>22</v>
      </c>
      <c r="E43" s="166">
        <f t="shared" si="3"/>
        <v>23705</v>
      </c>
      <c r="F43" s="175" t="s">
        <v>460</v>
      </c>
      <c r="H43" s="62">
        <f t="shared" si="0"/>
        <v>29157.149999999998</v>
      </c>
      <c r="I43" s="172">
        <f t="shared" si="1"/>
        <v>5452.1499999999978</v>
      </c>
    </row>
    <row r="44" spans="1:10" x14ac:dyDescent="0.25">
      <c r="A44" s="173" t="s">
        <v>415</v>
      </c>
      <c r="B44" s="173" t="s">
        <v>414</v>
      </c>
      <c r="C44" s="161">
        <v>74.650000000000006</v>
      </c>
      <c r="D44" s="166">
        <v>20</v>
      </c>
      <c r="E44" s="166">
        <f t="shared" si="3"/>
        <v>14930</v>
      </c>
      <c r="F44" s="175" t="s">
        <v>459</v>
      </c>
      <c r="H44" s="62">
        <f t="shared" si="0"/>
        <v>18363.900000000001</v>
      </c>
      <c r="I44" s="172">
        <f t="shared" si="1"/>
        <v>3433.9000000000015</v>
      </c>
    </row>
    <row r="45" spans="1:10" x14ac:dyDescent="0.25">
      <c r="A45" s="173" t="s">
        <v>416</v>
      </c>
      <c r="B45" s="173" t="s">
        <v>417</v>
      </c>
      <c r="C45" s="161">
        <v>36.869999999999997</v>
      </c>
      <c r="D45" s="166">
        <v>24</v>
      </c>
      <c r="E45" s="166">
        <f t="shared" si="3"/>
        <v>8848.7999999999993</v>
      </c>
      <c r="F45" s="175" t="s">
        <v>459</v>
      </c>
      <c r="H45" s="62">
        <f t="shared" si="0"/>
        <v>10884.023999999999</v>
      </c>
      <c r="I45" s="172">
        <f t="shared" si="1"/>
        <v>2035.2240000000002</v>
      </c>
    </row>
    <row r="46" spans="1:10" x14ac:dyDescent="0.25">
      <c r="A46" s="188" t="s">
        <v>418</v>
      </c>
      <c r="B46" s="188" t="s">
        <v>419</v>
      </c>
      <c r="C46" s="161"/>
      <c r="D46" s="172"/>
      <c r="E46" s="196">
        <v>39000</v>
      </c>
      <c r="F46" s="175"/>
      <c r="H46" s="62">
        <f t="shared" si="0"/>
        <v>47970</v>
      </c>
      <c r="I46" s="172">
        <f t="shared" si="1"/>
        <v>8970</v>
      </c>
    </row>
    <row r="47" spans="1:10" x14ac:dyDescent="0.25">
      <c r="A47" s="188" t="s">
        <v>420</v>
      </c>
      <c r="B47" s="188" t="s">
        <v>421</v>
      </c>
      <c r="C47" s="161"/>
      <c r="D47" s="196">
        <v>75</v>
      </c>
      <c r="E47" s="166"/>
      <c r="F47" s="175"/>
      <c r="H47" s="62">
        <f t="shared" si="0"/>
        <v>0</v>
      </c>
      <c r="I47" s="172">
        <f t="shared" si="1"/>
        <v>0</v>
      </c>
    </row>
    <row r="48" spans="1:10" x14ac:dyDescent="0.25">
      <c r="A48" s="188" t="s">
        <v>422</v>
      </c>
      <c r="B48" s="188" t="s">
        <v>423</v>
      </c>
      <c r="C48" s="161"/>
      <c r="D48" s="172"/>
      <c r="E48" s="196">
        <v>62000</v>
      </c>
      <c r="F48" s="175" t="s">
        <v>486</v>
      </c>
      <c r="H48" s="62">
        <f t="shared" si="0"/>
        <v>76260</v>
      </c>
      <c r="I48" s="172">
        <f t="shared" si="1"/>
        <v>14260</v>
      </c>
    </row>
    <row r="49" spans="1:10" x14ac:dyDescent="0.25">
      <c r="A49" s="188" t="s">
        <v>424</v>
      </c>
      <c r="B49" s="188" t="s">
        <v>425</v>
      </c>
      <c r="C49" s="161"/>
      <c r="D49" s="196" t="s">
        <v>40</v>
      </c>
      <c r="E49" s="196">
        <v>49000</v>
      </c>
      <c r="F49" s="175" t="s">
        <v>458</v>
      </c>
      <c r="H49" s="62">
        <f t="shared" si="0"/>
        <v>60270</v>
      </c>
      <c r="I49" s="172">
        <f t="shared" si="1"/>
        <v>11270</v>
      </c>
    </row>
    <row r="50" spans="1:10" x14ac:dyDescent="0.25">
      <c r="A50" s="188" t="s">
        <v>426</v>
      </c>
      <c r="B50" s="188" t="s">
        <v>88</v>
      </c>
      <c r="C50" s="161"/>
      <c r="D50" s="196" t="s">
        <v>40</v>
      </c>
      <c r="E50" s="196">
        <v>120000</v>
      </c>
      <c r="F50" s="175"/>
      <c r="H50" s="62">
        <f t="shared" si="0"/>
        <v>147600</v>
      </c>
      <c r="I50" s="172">
        <f t="shared" si="1"/>
        <v>27600</v>
      </c>
      <c r="J50">
        <v>300</v>
      </c>
    </row>
    <row r="51" spans="1:10" x14ac:dyDescent="0.25">
      <c r="A51" s="201" t="s">
        <v>427</v>
      </c>
      <c r="B51" s="188" t="s">
        <v>428</v>
      </c>
      <c r="C51" s="161"/>
      <c r="D51" s="196" t="s">
        <v>40</v>
      </c>
      <c r="E51" s="196">
        <v>60000</v>
      </c>
      <c r="F51" s="175" t="s">
        <v>458</v>
      </c>
      <c r="H51" s="62">
        <f t="shared" si="0"/>
        <v>73800</v>
      </c>
      <c r="I51" s="172">
        <f t="shared" si="1"/>
        <v>13800</v>
      </c>
      <c r="J51">
        <v>300</v>
      </c>
    </row>
    <row r="52" spans="1:10" x14ac:dyDescent="0.25">
      <c r="A52" s="189" t="s">
        <v>89</v>
      </c>
      <c r="B52" s="189" t="s">
        <v>429</v>
      </c>
      <c r="C52" s="161"/>
      <c r="D52" s="196" t="s">
        <v>40</v>
      </c>
      <c r="E52" s="196">
        <v>64000</v>
      </c>
      <c r="F52" s="175" t="s">
        <v>458</v>
      </c>
      <c r="H52" s="62">
        <f t="shared" si="0"/>
        <v>78720</v>
      </c>
      <c r="I52" s="172">
        <f t="shared" si="1"/>
        <v>14720</v>
      </c>
      <c r="J52">
        <v>300</v>
      </c>
    </row>
    <row r="53" spans="1:10" x14ac:dyDescent="0.25">
      <c r="A53" s="188" t="s">
        <v>430</v>
      </c>
      <c r="B53" s="188" t="s">
        <v>431</v>
      </c>
      <c r="C53" s="163"/>
      <c r="D53" s="196" t="s">
        <v>40</v>
      </c>
      <c r="E53" s="188">
        <v>41000</v>
      </c>
      <c r="F53" s="175" t="s">
        <v>486</v>
      </c>
      <c r="H53" s="62">
        <f t="shared" si="0"/>
        <v>50430</v>
      </c>
      <c r="I53" s="172">
        <f t="shared" si="1"/>
        <v>9430</v>
      </c>
    </row>
    <row r="54" spans="1:10" x14ac:dyDescent="0.25">
      <c r="A54" s="188" t="s">
        <v>432</v>
      </c>
      <c r="B54" s="188" t="s">
        <v>433</v>
      </c>
      <c r="C54" s="161"/>
      <c r="D54" s="196" t="s">
        <v>40</v>
      </c>
      <c r="E54" s="196">
        <v>49000</v>
      </c>
      <c r="F54" s="175" t="s">
        <v>458</v>
      </c>
      <c r="H54" s="62">
        <f t="shared" si="0"/>
        <v>60270</v>
      </c>
      <c r="I54" s="172">
        <f t="shared" si="1"/>
        <v>11270</v>
      </c>
    </row>
    <row r="55" spans="1:10" x14ac:dyDescent="0.25">
      <c r="A55" s="188" t="s">
        <v>434</v>
      </c>
      <c r="B55" s="188" t="s">
        <v>435</v>
      </c>
      <c r="C55" s="161"/>
      <c r="D55" s="196" t="s">
        <v>40</v>
      </c>
      <c r="E55" s="196">
        <v>64000</v>
      </c>
      <c r="F55" s="175" t="s">
        <v>458</v>
      </c>
      <c r="H55" s="62">
        <f t="shared" si="0"/>
        <v>78720</v>
      </c>
      <c r="I55" s="172">
        <f t="shared" si="1"/>
        <v>14720</v>
      </c>
      <c r="J55">
        <v>151.6</v>
      </c>
    </row>
    <row r="56" spans="1:10" x14ac:dyDescent="0.25">
      <c r="A56" s="192" t="s">
        <v>450</v>
      </c>
      <c r="B56" s="192" t="s">
        <v>451</v>
      </c>
      <c r="C56" s="161">
        <v>54</v>
      </c>
      <c r="D56" s="196">
        <v>75</v>
      </c>
      <c r="E56" s="166">
        <f t="shared" ref="E56:E59" si="4">SUM(C56*D56*10)</f>
        <v>40500</v>
      </c>
      <c r="F56" s="175" t="s">
        <v>471</v>
      </c>
      <c r="H56" s="62">
        <f t="shared" si="0"/>
        <v>49815</v>
      </c>
      <c r="I56" s="172">
        <f t="shared" si="1"/>
        <v>9315</v>
      </c>
    </row>
    <row r="57" spans="1:10" x14ac:dyDescent="0.25">
      <c r="A57" s="192" t="s">
        <v>452</v>
      </c>
      <c r="B57" s="192" t="s">
        <v>453</v>
      </c>
      <c r="C57" s="161">
        <v>9.25</v>
      </c>
      <c r="D57" s="196">
        <v>75</v>
      </c>
      <c r="E57" s="166">
        <f t="shared" si="4"/>
        <v>6937.5</v>
      </c>
      <c r="F57" s="175" t="s">
        <v>471</v>
      </c>
      <c r="H57" s="62">
        <f t="shared" si="0"/>
        <v>8533.125</v>
      </c>
      <c r="I57" s="172">
        <f t="shared" si="1"/>
        <v>1595.625</v>
      </c>
    </row>
    <row r="58" spans="1:10" x14ac:dyDescent="0.25">
      <c r="A58" s="192" t="s">
        <v>454</v>
      </c>
      <c r="B58" s="192" t="s">
        <v>455</v>
      </c>
      <c r="C58" s="161">
        <v>108</v>
      </c>
      <c r="D58" s="196">
        <v>55</v>
      </c>
      <c r="E58" s="166">
        <f t="shared" si="4"/>
        <v>59400</v>
      </c>
      <c r="F58" s="175" t="s">
        <v>471</v>
      </c>
      <c r="H58" s="62">
        <f t="shared" si="0"/>
        <v>73062</v>
      </c>
      <c r="I58" s="172">
        <f t="shared" si="1"/>
        <v>13662</v>
      </c>
    </row>
    <row r="59" spans="1:10" x14ac:dyDescent="0.25">
      <c r="A59" s="192" t="s">
        <v>456</v>
      </c>
      <c r="B59" s="192" t="s">
        <v>457</v>
      </c>
      <c r="C59" s="161">
        <v>18.5</v>
      </c>
      <c r="D59" s="196">
        <v>45</v>
      </c>
      <c r="E59" s="166">
        <f t="shared" si="4"/>
        <v>8325</v>
      </c>
      <c r="F59" s="175" t="s">
        <v>471</v>
      </c>
      <c r="H59" s="62">
        <f t="shared" si="0"/>
        <v>10239.75</v>
      </c>
      <c r="I59" s="172">
        <f t="shared" si="1"/>
        <v>1914.75</v>
      </c>
    </row>
    <row r="60" spans="1:10" x14ac:dyDescent="0.25">
      <c r="A60" s="188" t="s">
        <v>436</v>
      </c>
      <c r="B60" s="188" t="s">
        <v>437</v>
      </c>
      <c r="C60" s="163"/>
      <c r="D60" s="196" t="s">
        <v>40</v>
      </c>
      <c r="E60" s="188">
        <v>41000</v>
      </c>
      <c r="F60" s="176" t="s">
        <v>458</v>
      </c>
      <c r="H60" s="62">
        <f t="shared" si="0"/>
        <v>50430</v>
      </c>
      <c r="I60" s="172">
        <f t="shared" si="1"/>
        <v>9430</v>
      </c>
      <c r="J60">
        <v>300</v>
      </c>
    </row>
    <row r="61" spans="1:10" ht="30.75" customHeight="1" x14ac:dyDescent="0.25">
      <c r="A61" s="190"/>
      <c r="B61" s="190"/>
      <c r="C61" s="170"/>
      <c r="D61" s="171"/>
      <c r="E61" s="169"/>
      <c r="F61" s="177"/>
      <c r="H61" s="62">
        <v>0</v>
      </c>
      <c r="I61" s="172">
        <v>0</v>
      </c>
    </row>
    <row r="62" spans="1:10" ht="15.75" thickBot="1" x14ac:dyDescent="0.3">
      <c r="A62" s="173" t="s">
        <v>90</v>
      </c>
      <c r="B62" s="173"/>
      <c r="C62" s="161"/>
      <c r="D62" s="167"/>
      <c r="E62" s="162">
        <f>SUM(E3:E60)</f>
        <v>2135526.1000000006</v>
      </c>
      <c r="F62" s="175"/>
      <c r="H62" s="162">
        <f>SUM(H3:H60)</f>
        <v>2626697.1029999997</v>
      </c>
      <c r="I62" s="162">
        <f>SUM(I3:I60)</f>
        <v>491171.00300000008</v>
      </c>
      <c r="J62" s="162">
        <f>SUM(J3:J60)</f>
        <v>6139.7</v>
      </c>
    </row>
    <row r="63" spans="1:10" x14ac:dyDescent="0.25">
      <c r="A63" s="191"/>
      <c r="B63" s="191"/>
      <c r="D63" s="33" t="s">
        <v>40</v>
      </c>
      <c r="E63" s="172" t="s">
        <v>40</v>
      </c>
      <c r="F63" s="178"/>
      <c r="H63" s="62"/>
    </row>
    <row r="64" spans="1:10" x14ac:dyDescent="0.25">
      <c r="A64" s="191"/>
      <c r="B64" s="191"/>
      <c r="D64"/>
      <c r="E64" s="172"/>
      <c r="F64" s="178"/>
      <c r="H64" s="62"/>
    </row>
    <row r="65" spans="1:8" x14ac:dyDescent="0.25">
      <c r="A65" s="191"/>
      <c r="B65" s="191"/>
      <c r="D65" s="33" t="s">
        <v>91</v>
      </c>
      <c r="E65" s="59">
        <v>185</v>
      </c>
      <c r="F65" s="160" t="s">
        <v>92</v>
      </c>
      <c r="H65" s="62"/>
    </row>
    <row r="66" spans="1:8" x14ac:dyDescent="0.25">
      <c r="A66" s="191"/>
      <c r="B66" s="191"/>
      <c r="D66"/>
      <c r="E66"/>
      <c r="F66"/>
      <c r="H66" s="62"/>
    </row>
    <row r="67" spans="1:8" x14ac:dyDescent="0.25">
      <c r="D67"/>
      <c r="E67"/>
      <c r="F67"/>
      <c r="H67" s="62"/>
    </row>
    <row r="68" spans="1:8" x14ac:dyDescent="0.25">
      <c r="D68"/>
      <c r="E68"/>
      <c r="F68"/>
      <c r="H68" s="62"/>
    </row>
    <row r="69" spans="1:8" x14ac:dyDescent="0.25">
      <c r="D69"/>
      <c r="E69"/>
      <c r="F69"/>
      <c r="H69" s="62"/>
    </row>
    <row r="70" spans="1:8" x14ac:dyDescent="0.25">
      <c r="D70"/>
      <c r="E70"/>
      <c r="F70"/>
      <c r="H70" s="62"/>
    </row>
    <row r="71" spans="1:8" x14ac:dyDescent="0.25">
      <c r="A71" s="191"/>
      <c r="B71" s="191"/>
      <c r="D71"/>
      <c r="E71"/>
      <c r="F71"/>
      <c r="H71" s="62"/>
    </row>
    <row r="72" spans="1:8" x14ac:dyDescent="0.25">
      <c r="A72" s="191"/>
      <c r="B72" s="191"/>
      <c r="D72"/>
      <c r="E72"/>
      <c r="F72"/>
      <c r="H72" s="62"/>
    </row>
    <row r="73" spans="1:8" x14ac:dyDescent="0.25">
      <c r="A73" s="191" t="s">
        <v>467</v>
      </c>
      <c r="B73" s="191"/>
      <c r="D73"/>
      <c r="E73"/>
      <c r="F73"/>
      <c r="H73" s="62"/>
    </row>
    <row r="74" spans="1:8" x14ac:dyDescent="0.25">
      <c r="A74" s="191"/>
      <c r="B74" s="191"/>
      <c r="D74"/>
      <c r="E74"/>
      <c r="F74"/>
      <c r="H74" s="62"/>
    </row>
    <row r="75" spans="1:8" x14ac:dyDescent="0.25">
      <c r="A75" s="191"/>
      <c r="B75" s="191"/>
      <c r="D75"/>
      <c r="E75"/>
      <c r="F75"/>
      <c r="H75" s="62"/>
    </row>
    <row r="76" spans="1:8" x14ac:dyDescent="0.25">
      <c r="A76" s="191"/>
      <c r="B76" s="191"/>
      <c r="D76"/>
      <c r="E76"/>
      <c r="F76"/>
      <c r="H76" s="62"/>
    </row>
    <row r="77" spans="1:8" x14ac:dyDescent="0.25">
      <c r="A77" s="191"/>
      <c r="B77" s="191"/>
      <c r="D77"/>
      <c r="E77"/>
      <c r="F77"/>
      <c r="H77" s="62"/>
    </row>
    <row r="78" spans="1:8" x14ac:dyDescent="0.25">
      <c r="A78" s="191"/>
      <c r="B78" s="191"/>
      <c r="D78"/>
      <c r="E78"/>
      <c r="F78"/>
      <c r="H78" s="62"/>
    </row>
    <row r="79" spans="1:8" x14ac:dyDescent="0.25">
      <c r="A79" s="191"/>
      <c r="B79" s="191"/>
      <c r="D79"/>
      <c r="E79"/>
      <c r="F79"/>
      <c r="H79" s="62"/>
    </row>
    <row r="80" spans="1:8" x14ac:dyDescent="0.25">
      <c r="A80" s="191"/>
      <c r="B80" s="191"/>
      <c r="D80"/>
      <c r="E80"/>
      <c r="F80"/>
      <c r="H80" s="62"/>
    </row>
    <row r="81" spans="1:8" x14ac:dyDescent="0.25">
      <c r="A81" s="191"/>
      <c r="B81" s="191"/>
      <c r="D81"/>
      <c r="E81"/>
      <c r="F81"/>
      <c r="H81" s="62"/>
    </row>
    <row r="82" spans="1:8" x14ac:dyDescent="0.25">
      <c r="H82" s="62"/>
    </row>
    <row r="83" spans="1:8" x14ac:dyDescent="0.25">
      <c r="H83" s="62"/>
    </row>
  </sheetData>
  <conditionalFormatting sqref="A1:B66 A71:B1048576">
    <cfRule type="containsText" dxfId="1" priority="9" operator="containsText" text="Vacant">
      <formula>NOT(ISERROR(SEARCH("Vacant",A1)))</formula>
    </cfRule>
    <cfRule type="expression" dxfId="0" priority="10">
      <formula>#REF!</formula>
    </cfRule>
  </conditionalFormatting>
  <pageMargins left="0.2" right="0.2" top="0.75" bottom="0.75" header="0.3" footer="0.3"/>
  <pageSetup scale="8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00CD-D0FF-4F17-A177-9452EECF7608}">
  <dimension ref="A1:M96"/>
  <sheetViews>
    <sheetView zoomScale="85" zoomScaleNormal="85" workbookViewId="0">
      <pane ySplit="1" topLeftCell="A2" activePane="bottomLeft" state="frozen"/>
      <selection pane="bottomLeft" activeCell="C16" sqref="C16"/>
    </sheetView>
  </sheetViews>
  <sheetFormatPr defaultRowHeight="15" x14ac:dyDescent="0.25"/>
  <cols>
    <col min="1" max="1" width="58" bestFit="1" customWidth="1"/>
    <col min="2" max="2" width="15" style="62" bestFit="1" customWidth="1"/>
    <col min="3" max="3" width="62.85546875" style="156" customWidth="1"/>
    <col min="4" max="4" width="12.5703125" style="33" hidden="1" customWidth="1"/>
    <col min="5" max="5" width="15.5703125" style="33" hidden="1" customWidth="1"/>
    <col min="6" max="6" width="18" style="33" hidden="1" customWidth="1"/>
    <col min="7" max="7" width="17.7109375" style="33" hidden="1" customWidth="1"/>
    <col min="8" max="8" width="24.5703125" bestFit="1" customWidth="1"/>
    <col min="10" max="10" width="11.5703125" style="59" bestFit="1" customWidth="1"/>
    <col min="11" max="11" width="27.42578125" customWidth="1"/>
  </cols>
  <sheetData>
    <row r="1" spans="1:13" s="102" customFormat="1" ht="45" x14ac:dyDescent="0.25">
      <c r="A1" s="104" t="s">
        <v>93</v>
      </c>
      <c r="B1" s="159" t="s">
        <v>330</v>
      </c>
      <c r="C1" s="158" t="s">
        <v>331</v>
      </c>
      <c r="D1" s="105" t="s">
        <v>94</v>
      </c>
      <c r="E1" s="105" t="s">
        <v>95</v>
      </c>
      <c r="F1" s="105" t="s">
        <v>96</v>
      </c>
      <c r="G1" s="105" t="s">
        <v>97</v>
      </c>
      <c r="J1" s="103"/>
    </row>
    <row r="2" spans="1:13" s="35" customFormat="1" x14ac:dyDescent="0.25">
      <c r="A2" s="106" t="s">
        <v>19</v>
      </c>
      <c r="B2" s="146">
        <f>SUM(B3:B11)</f>
        <v>214215</v>
      </c>
      <c r="C2" s="148"/>
      <c r="D2" s="108"/>
      <c r="E2" s="108"/>
      <c r="F2" s="108"/>
      <c r="G2" s="108"/>
      <c r="J2" s="61"/>
    </row>
    <row r="3" spans="1:13" x14ac:dyDescent="0.25">
      <c r="A3" s="109" t="s">
        <v>98</v>
      </c>
      <c r="B3" s="111">
        <v>10000</v>
      </c>
      <c r="C3" s="149" t="s">
        <v>363</v>
      </c>
      <c r="D3" s="110">
        <v>31351</v>
      </c>
      <c r="E3" s="110">
        <f>D3+25000</f>
        <v>56351</v>
      </c>
      <c r="F3" s="110">
        <v>6000</v>
      </c>
      <c r="G3" s="110">
        <f t="shared" ref="G3:G11" si="0">B3-F3</f>
        <v>4000</v>
      </c>
    </row>
    <row r="4" spans="1:13" hidden="1" x14ac:dyDescent="0.25">
      <c r="A4" s="109" t="s">
        <v>99</v>
      </c>
      <c r="B4" s="111">
        <v>0</v>
      </c>
      <c r="C4" s="149"/>
      <c r="D4" s="110">
        <v>0</v>
      </c>
      <c r="E4" s="110">
        <v>4500</v>
      </c>
      <c r="F4" s="110">
        <v>0</v>
      </c>
      <c r="G4" s="110">
        <f t="shared" si="0"/>
        <v>0</v>
      </c>
    </row>
    <row r="5" spans="1:13" x14ac:dyDescent="0.25">
      <c r="A5" s="109" t="s">
        <v>100</v>
      </c>
      <c r="B5" s="111">
        <v>54800</v>
      </c>
      <c r="C5" s="149" t="s">
        <v>332</v>
      </c>
      <c r="D5" s="110">
        <v>40444</v>
      </c>
      <c r="E5" s="110">
        <f>D5+5000+5000</f>
        <v>50444</v>
      </c>
      <c r="F5" s="110">
        <v>28000</v>
      </c>
      <c r="G5" s="110">
        <f t="shared" si="0"/>
        <v>26800</v>
      </c>
    </row>
    <row r="6" spans="1:13" x14ac:dyDescent="0.25">
      <c r="A6" s="109" t="s">
        <v>101</v>
      </c>
      <c r="B6" s="111">
        <v>43000</v>
      </c>
      <c r="C6" s="149" t="s">
        <v>362</v>
      </c>
      <c r="D6" s="110">
        <v>29789</v>
      </c>
      <c r="E6" s="110">
        <f>D6+3300*2</f>
        <v>36389</v>
      </c>
      <c r="F6" s="110">
        <v>38000</v>
      </c>
      <c r="G6" s="110">
        <f t="shared" si="0"/>
        <v>5000</v>
      </c>
    </row>
    <row r="7" spans="1:13" x14ac:dyDescent="0.25">
      <c r="A7" s="109" t="s">
        <v>102</v>
      </c>
      <c r="B7" s="111">
        <v>2415</v>
      </c>
      <c r="C7" s="150" t="s">
        <v>335</v>
      </c>
      <c r="D7" s="110">
        <v>10</v>
      </c>
      <c r="E7" s="110">
        <v>2400</v>
      </c>
      <c r="F7" s="110">
        <v>2400</v>
      </c>
      <c r="G7" s="110">
        <f t="shared" si="0"/>
        <v>15</v>
      </c>
    </row>
    <row r="8" spans="1:13" x14ac:dyDescent="0.25">
      <c r="A8" s="109" t="s">
        <v>103</v>
      </c>
      <c r="B8" s="111">
        <v>12000</v>
      </c>
      <c r="C8" s="150" t="s">
        <v>333</v>
      </c>
      <c r="D8" s="110">
        <v>8150</v>
      </c>
      <c r="E8" s="110">
        <f>D8</f>
        <v>8150</v>
      </c>
      <c r="F8" s="110">
        <v>5500</v>
      </c>
      <c r="G8" s="110">
        <f t="shared" si="0"/>
        <v>6500</v>
      </c>
    </row>
    <row r="9" spans="1:13" x14ac:dyDescent="0.25">
      <c r="A9" s="109" t="s">
        <v>104</v>
      </c>
      <c r="B9" s="111">
        <v>80000</v>
      </c>
      <c r="C9" s="150" t="s">
        <v>364</v>
      </c>
      <c r="D9" s="112">
        <v>50086</v>
      </c>
      <c r="E9" s="112">
        <f>D9+8000</f>
        <v>58086</v>
      </c>
      <c r="F9" s="112">
        <v>74000</v>
      </c>
      <c r="G9" s="110">
        <f t="shared" si="0"/>
        <v>6000</v>
      </c>
      <c r="H9" s="100" t="s">
        <v>87</v>
      </c>
      <c r="I9" s="78" t="s">
        <v>105</v>
      </c>
      <c r="J9" s="78"/>
      <c r="K9" s="101">
        <f>1500*12</f>
        <v>18000</v>
      </c>
      <c r="L9" s="78" t="s">
        <v>106</v>
      </c>
      <c r="M9" s="78"/>
    </row>
    <row r="10" spans="1:13" x14ac:dyDescent="0.25">
      <c r="A10" s="109" t="s">
        <v>107</v>
      </c>
      <c r="B10" s="111">
        <v>2000</v>
      </c>
      <c r="C10" s="150" t="s">
        <v>333</v>
      </c>
      <c r="D10" s="112">
        <v>1030</v>
      </c>
      <c r="E10" s="112">
        <f>D10+500</f>
        <v>1530</v>
      </c>
      <c r="F10" s="112">
        <v>1500</v>
      </c>
      <c r="G10" s="110">
        <f t="shared" si="0"/>
        <v>500</v>
      </c>
      <c r="H10" s="100" t="s">
        <v>108</v>
      </c>
      <c r="I10" s="78" t="s">
        <v>105</v>
      </c>
      <c r="J10" s="78"/>
      <c r="K10" s="101">
        <v>5953.2</v>
      </c>
      <c r="L10" s="78"/>
      <c r="M10" s="78"/>
    </row>
    <row r="11" spans="1:13" x14ac:dyDescent="0.25">
      <c r="A11" s="109" t="s">
        <v>109</v>
      </c>
      <c r="B11" s="111">
        <v>10000</v>
      </c>
      <c r="C11" s="150"/>
      <c r="D11" s="112">
        <v>14918</v>
      </c>
      <c r="E11" s="112">
        <f>D11+2000</f>
        <v>16918</v>
      </c>
      <c r="F11" s="112">
        <v>0</v>
      </c>
      <c r="G11" s="110">
        <f t="shared" si="0"/>
        <v>10000</v>
      </c>
      <c r="H11" s="100" t="s">
        <v>110</v>
      </c>
      <c r="I11" s="78" t="s">
        <v>105</v>
      </c>
      <c r="J11" s="78"/>
      <c r="K11" s="101">
        <v>41338.44</v>
      </c>
      <c r="L11" s="78"/>
      <c r="M11" s="78"/>
    </row>
    <row r="12" spans="1:13" x14ac:dyDescent="0.25">
      <c r="A12" s="109"/>
      <c r="B12" s="111"/>
      <c r="C12" s="150"/>
      <c r="D12" s="110"/>
      <c r="E12" s="110"/>
      <c r="F12" s="110"/>
      <c r="G12" s="110"/>
      <c r="H12" s="100" t="s">
        <v>111</v>
      </c>
      <c r="I12" s="78"/>
      <c r="J12" s="78"/>
      <c r="K12" s="101">
        <v>6840</v>
      </c>
      <c r="L12" s="78"/>
      <c r="M12" s="78"/>
    </row>
    <row r="13" spans="1:13" x14ac:dyDescent="0.25">
      <c r="A13" s="106" t="s">
        <v>112</v>
      </c>
      <c r="B13" s="157">
        <f>SUM(B14:B26)</f>
        <v>378172.8304184</v>
      </c>
      <c r="C13" s="151"/>
      <c r="D13" s="108"/>
      <c r="E13" s="108"/>
      <c r="F13" s="108"/>
      <c r="G13" s="108"/>
    </row>
    <row r="14" spans="1:13" s="35" customFormat="1" x14ac:dyDescent="0.25">
      <c r="A14" s="109" t="s">
        <v>113</v>
      </c>
      <c r="B14" s="111">
        <f>'State Sources'!B7*0.03</f>
        <v>113197.60041839999</v>
      </c>
      <c r="C14" s="150" t="s">
        <v>334</v>
      </c>
      <c r="D14" s="110"/>
      <c r="E14" s="110"/>
      <c r="F14" s="110"/>
      <c r="G14" s="110"/>
      <c r="J14" s="61"/>
    </row>
    <row r="15" spans="1:13" x14ac:dyDescent="0.25">
      <c r="A15" s="109" t="s">
        <v>114</v>
      </c>
      <c r="B15" s="111">
        <v>9175.23</v>
      </c>
      <c r="C15" s="150" t="s">
        <v>474</v>
      </c>
      <c r="D15" s="110"/>
      <c r="E15" s="110"/>
      <c r="F15" s="110"/>
      <c r="G15" s="110"/>
    </row>
    <row r="16" spans="1:13" x14ac:dyDescent="0.25">
      <c r="A16" s="109" t="s">
        <v>115</v>
      </c>
      <c r="B16" s="111">
        <v>4500</v>
      </c>
      <c r="C16" s="150" t="s">
        <v>340</v>
      </c>
      <c r="D16" s="110">
        <v>2895</v>
      </c>
      <c r="E16" s="110">
        <f>D16+400</f>
        <v>3295</v>
      </c>
      <c r="F16" s="110">
        <v>0</v>
      </c>
      <c r="G16" s="110">
        <f t="shared" ref="G16:G26" si="1">B16-F16</f>
        <v>4500</v>
      </c>
    </row>
    <row r="17" spans="1:11" x14ac:dyDescent="0.25">
      <c r="A17" s="109" t="s">
        <v>116</v>
      </c>
      <c r="B17" s="111">
        <v>63000</v>
      </c>
      <c r="C17" s="150" t="s">
        <v>337</v>
      </c>
      <c r="D17" s="112">
        <v>41334</v>
      </c>
      <c r="E17" s="112">
        <f>D17+2000</f>
        <v>43334</v>
      </c>
      <c r="F17" s="112">
        <v>21876</v>
      </c>
      <c r="G17" s="112">
        <f t="shared" si="1"/>
        <v>41124</v>
      </c>
    </row>
    <row r="18" spans="1:11" hidden="1" x14ac:dyDescent="0.25">
      <c r="A18" s="109" t="s">
        <v>117</v>
      </c>
      <c r="B18" s="111">
        <v>0</v>
      </c>
      <c r="C18" s="150"/>
      <c r="D18" s="110">
        <v>0</v>
      </c>
      <c r="E18" s="110">
        <v>0</v>
      </c>
      <c r="F18" s="110"/>
      <c r="G18" s="110">
        <f t="shared" si="1"/>
        <v>0</v>
      </c>
      <c r="J18" s="62"/>
    </row>
    <row r="19" spans="1:11" hidden="1" x14ac:dyDescent="0.25">
      <c r="A19" s="109" t="s">
        <v>118</v>
      </c>
      <c r="B19" s="111">
        <v>0</v>
      </c>
      <c r="C19" s="150"/>
      <c r="D19" s="110">
        <v>0</v>
      </c>
      <c r="E19" s="110">
        <v>0</v>
      </c>
      <c r="F19" s="110"/>
      <c r="G19" s="110">
        <f t="shared" si="1"/>
        <v>0</v>
      </c>
    </row>
    <row r="20" spans="1:11" x14ac:dyDescent="0.25">
      <c r="A20" s="109" t="s">
        <v>119</v>
      </c>
      <c r="B20" s="111">
        <v>10000</v>
      </c>
      <c r="C20" s="150" t="s">
        <v>120</v>
      </c>
      <c r="D20" s="110">
        <v>0</v>
      </c>
      <c r="E20" s="110">
        <v>0</v>
      </c>
      <c r="F20" s="110">
        <v>32000</v>
      </c>
      <c r="G20" s="110">
        <f t="shared" si="1"/>
        <v>-22000</v>
      </c>
    </row>
    <row r="21" spans="1:11" x14ac:dyDescent="0.25">
      <c r="A21" s="109" t="s">
        <v>121</v>
      </c>
      <c r="B21" s="111">
        <v>110000</v>
      </c>
      <c r="C21" s="150" t="s">
        <v>342</v>
      </c>
      <c r="D21" s="110">
        <f>76509.52+8900</f>
        <v>85409.52</v>
      </c>
      <c r="E21" s="110">
        <f>D21+9500</f>
        <v>94909.52</v>
      </c>
      <c r="F21" s="110">
        <v>100000</v>
      </c>
      <c r="G21" s="110">
        <f t="shared" si="1"/>
        <v>10000</v>
      </c>
    </row>
    <row r="22" spans="1:11" x14ac:dyDescent="0.25">
      <c r="A22" s="109" t="s">
        <v>122</v>
      </c>
      <c r="B22" s="111">
        <v>10000</v>
      </c>
      <c r="C22" s="152">
        <v>13000</v>
      </c>
      <c r="D22" s="110">
        <v>9032</v>
      </c>
      <c r="E22" s="110">
        <f>D22</f>
        <v>9032</v>
      </c>
      <c r="F22" s="110">
        <v>8000</v>
      </c>
      <c r="G22" s="110">
        <f t="shared" si="1"/>
        <v>2000</v>
      </c>
    </row>
    <row r="23" spans="1:11" x14ac:dyDescent="0.25">
      <c r="A23" s="109" t="s">
        <v>123</v>
      </c>
      <c r="B23" s="111">
        <v>8000</v>
      </c>
      <c r="C23" s="153" t="s">
        <v>344</v>
      </c>
      <c r="D23" s="110">
        <v>7283</v>
      </c>
      <c r="E23" s="110">
        <f>D23+2000</f>
        <v>9283</v>
      </c>
      <c r="F23" s="110">
        <v>10000</v>
      </c>
      <c r="G23" s="110">
        <f t="shared" si="1"/>
        <v>-2000</v>
      </c>
    </row>
    <row r="24" spans="1:11" x14ac:dyDescent="0.25">
      <c r="A24" s="109" t="s">
        <v>124</v>
      </c>
      <c r="B24" s="111">
        <v>7800</v>
      </c>
      <c r="C24" s="150" t="s">
        <v>343</v>
      </c>
      <c r="D24" s="110">
        <v>420</v>
      </c>
      <c r="E24" s="110">
        <f>D24</f>
        <v>420</v>
      </c>
      <c r="F24" s="110">
        <v>500</v>
      </c>
      <c r="G24" s="110">
        <f t="shared" si="1"/>
        <v>7300</v>
      </c>
    </row>
    <row r="25" spans="1:11" x14ac:dyDescent="0.25">
      <c r="A25" s="109" t="s">
        <v>125</v>
      </c>
      <c r="B25" s="111">
        <v>2500</v>
      </c>
      <c r="C25" s="150" t="s">
        <v>343</v>
      </c>
      <c r="D25" s="110">
        <v>2200</v>
      </c>
      <c r="E25" s="110">
        <f>D25+175</f>
        <v>2375</v>
      </c>
      <c r="F25" s="110">
        <v>2720</v>
      </c>
      <c r="G25" s="110">
        <f t="shared" si="1"/>
        <v>-220</v>
      </c>
    </row>
    <row r="26" spans="1:11" x14ac:dyDescent="0.25">
      <c r="A26" s="109" t="s">
        <v>126</v>
      </c>
      <c r="B26" s="111">
        <v>40000</v>
      </c>
      <c r="C26" s="150" t="s">
        <v>468</v>
      </c>
      <c r="D26" s="110">
        <v>0</v>
      </c>
      <c r="E26" s="110">
        <v>0</v>
      </c>
      <c r="F26" s="110">
        <v>2500</v>
      </c>
      <c r="G26" s="110">
        <f t="shared" si="1"/>
        <v>37500</v>
      </c>
    </row>
    <row r="27" spans="1:11" x14ac:dyDescent="0.25">
      <c r="A27" s="109"/>
      <c r="B27" s="111"/>
      <c r="C27" s="150"/>
      <c r="D27" s="110"/>
      <c r="E27" s="110"/>
      <c r="F27" s="110"/>
      <c r="G27" s="110"/>
      <c r="K27" s="79"/>
    </row>
    <row r="28" spans="1:11" x14ac:dyDescent="0.25">
      <c r="A28" s="109"/>
      <c r="B28" s="111"/>
      <c r="C28" s="150"/>
      <c r="D28" s="110"/>
      <c r="E28" s="110"/>
      <c r="F28" s="110"/>
      <c r="G28" s="110"/>
    </row>
    <row r="29" spans="1:11" x14ac:dyDescent="0.25">
      <c r="A29" s="106" t="s">
        <v>21</v>
      </c>
      <c r="B29" s="157">
        <f>SUM(B30:B31)</f>
        <v>100000</v>
      </c>
      <c r="C29" s="151"/>
      <c r="D29" s="107">
        <f>SUM(D30:D31)</f>
        <v>91386.22</v>
      </c>
      <c r="E29" s="107">
        <f>SUM(E30:E31)</f>
        <v>102886.22</v>
      </c>
      <c r="F29" s="107">
        <f>SUM(F30:F31)</f>
        <v>65500</v>
      </c>
      <c r="G29" s="110">
        <f>B29-F29</f>
        <v>34500</v>
      </c>
    </row>
    <row r="30" spans="1:11" s="35" customFormat="1" x14ac:dyDescent="0.25">
      <c r="A30" s="109" t="s">
        <v>21</v>
      </c>
      <c r="B30" s="111">
        <v>90000</v>
      </c>
      <c r="C30" s="150" t="s">
        <v>346</v>
      </c>
      <c r="D30" s="110">
        <v>80924.52</v>
      </c>
      <c r="E30" s="110">
        <f>D30+10000</f>
        <v>90924.52</v>
      </c>
      <c r="F30" s="110">
        <v>59000</v>
      </c>
      <c r="G30" s="110">
        <f>B30-F30</f>
        <v>31000</v>
      </c>
      <c r="J30" s="61"/>
    </row>
    <row r="31" spans="1:11" x14ac:dyDescent="0.25">
      <c r="A31" s="109" t="s">
        <v>127</v>
      </c>
      <c r="B31" s="111">
        <v>10000</v>
      </c>
      <c r="C31" s="150" t="s">
        <v>345</v>
      </c>
      <c r="D31" s="110">
        <v>10461.700000000001</v>
      </c>
      <c r="E31" s="110">
        <f>D31+1500</f>
        <v>11961.7</v>
      </c>
      <c r="F31" s="110">
        <v>6500</v>
      </c>
      <c r="G31" s="110">
        <f>B31-F31</f>
        <v>3500</v>
      </c>
    </row>
    <row r="32" spans="1:11" x14ac:dyDescent="0.25">
      <c r="A32" s="109"/>
      <c r="B32" s="111"/>
      <c r="C32" s="150"/>
      <c r="D32" s="110"/>
      <c r="E32" s="110"/>
      <c r="F32" s="110"/>
      <c r="G32" s="110"/>
    </row>
    <row r="33" spans="1:10" x14ac:dyDescent="0.25">
      <c r="A33" s="106" t="s">
        <v>22</v>
      </c>
      <c r="B33" s="157">
        <f>SUM(B34:B37)</f>
        <v>29400</v>
      </c>
      <c r="C33" s="151"/>
      <c r="D33" s="107">
        <f>SUM(D34:D37)</f>
        <v>14791</v>
      </c>
      <c r="E33" s="107">
        <f>SUM(E34:E37)</f>
        <v>16991</v>
      </c>
      <c r="F33" s="107">
        <f>SUM(F34:F37)</f>
        <v>0</v>
      </c>
      <c r="G33" s="107">
        <f>SUM(G34:G37)</f>
        <v>29400</v>
      </c>
    </row>
    <row r="34" spans="1:10" s="35" customFormat="1" x14ac:dyDescent="0.25">
      <c r="A34" s="109" t="s">
        <v>128</v>
      </c>
      <c r="B34" s="111">
        <v>28400</v>
      </c>
      <c r="C34" s="154" t="s">
        <v>361</v>
      </c>
      <c r="D34" s="110">
        <v>13340</v>
      </c>
      <c r="E34" s="110">
        <f>D34+1600</f>
        <v>14940</v>
      </c>
      <c r="F34" s="110"/>
      <c r="G34" s="110">
        <f>B34-F34</f>
        <v>28400</v>
      </c>
      <c r="J34" s="61"/>
    </row>
    <row r="35" spans="1:10" x14ac:dyDescent="0.25">
      <c r="A35" s="109" t="s">
        <v>129</v>
      </c>
      <c r="B35" s="111">
        <v>1000</v>
      </c>
      <c r="C35" s="150" t="s">
        <v>336</v>
      </c>
      <c r="D35" s="110">
        <v>1451</v>
      </c>
      <c r="E35" s="110">
        <f>D35+600</f>
        <v>2051</v>
      </c>
      <c r="F35" s="110"/>
      <c r="G35" s="110">
        <f>B35-F35</f>
        <v>1000</v>
      </c>
    </row>
    <row r="36" spans="1:10" x14ac:dyDescent="0.25">
      <c r="A36" s="109"/>
      <c r="B36" s="111"/>
      <c r="C36" s="150"/>
      <c r="D36" s="110"/>
      <c r="E36" s="110"/>
      <c r="F36" s="110"/>
      <c r="G36" s="110"/>
    </row>
    <row r="37" spans="1:10" x14ac:dyDescent="0.25">
      <c r="A37" s="109"/>
      <c r="B37" s="111"/>
      <c r="C37" s="150"/>
      <c r="D37" s="110"/>
      <c r="E37" s="110"/>
      <c r="F37" s="110"/>
      <c r="G37" s="110"/>
    </row>
    <row r="38" spans="1:10" x14ac:dyDescent="0.25">
      <c r="A38" s="109"/>
      <c r="B38" s="111"/>
      <c r="C38" s="150"/>
      <c r="D38" s="110"/>
      <c r="E38" s="110"/>
      <c r="F38" s="110"/>
      <c r="G38" s="110"/>
    </row>
    <row r="39" spans="1:10" x14ac:dyDescent="0.25">
      <c r="A39" s="106" t="s">
        <v>23</v>
      </c>
      <c r="B39" s="157">
        <v>35000</v>
      </c>
      <c r="C39" s="150" t="s">
        <v>339</v>
      </c>
      <c r="D39" s="108">
        <v>31762</v>
      </c>
      <c r="E39" s="108">
        <f>D39+3000</f>
        <v>34762</v>
      </c>
      <c r="F39" s="108"/>
      <c r="G39" s="110">
        <f>B39-F39</f>
        <v>35000</v>
      </c>
    </row>
    <row r="40" spans="1:10" s="35" customFormat="1" x14ac:dyDescent="0.25">
      <c r="A40" s="106"/>
      <c r="B40" s="146"/>
      <c r="C40" s="150"/>
      <c r="D40" s="108"/>
      <c r="E40" s="108"/>
      <c r="F40" s="108"/>
      <c r="G40" s="108"/>
      <c r="J40" s="61"/>
    </row>
    <row r="41" spans="1:10" s="35" customFormat="1" x14ac:dyDescent="0.25">
      <c r="A41" s="106" t="s">
        <v>24</v>
      </c>
      <c r="B41" s="157">
        <v>60000</v>
      </c>
      <c r="C41" s="150" t="s">
        <v>348</v>
      </c>
      <c r="D41" s="108">
        <v>47696</v>
      </c>
      <c r="E41" s="108">
        <f>D41+2000</f>
        <v>49696</v>
      </c>
      <c r="F41" s="108"/>
      <c r="G41" s="110">
        <f>B41-F41</f>
        <v>60000</v>
      </c>
      <c r="J41" s="61"/>
    </row>
    <row r="42" spans="1:10" s="35" customFormat="1" x14ac:dyDescent="0.25">
      <c r="A42" s="106"/>
      <c r="B42" s="146"/>
      <c r="C42" s="150"/>
      <c r="D42" s="108"/>
      <c r="E42" s="108"/>
      <c r="F42" s="108"/>
      <c r="G42" s="108"/>
      <c r="J42" s="61"/>
    </row>
    <row r="43" spans="1:10" s="35" customFormat="1" x14ac:dyDescent="0.25">
      <c r="A43" s="106" t="s">
        <v>25</v>
      </c>
      <c r="B43" s="157">
        <f>SUM(B44:B69)</f>
        <v>345650</v>
      </c>
      <c r="C43" s="151"/>
      <c r="D43" s="107">
        <f>SUM(D44:D69)</f>
        <v>213082.46</v>
      </c>
      <c r="E43" s="107">
        <f>SUM(E44:E69)</f>
        <v>240929.05999999997</v>
      </c>
      <c r="F43" s="107" t="e">
        <f>SUM(F44:F69)</f>
        <v>#VALUE!</v>
      </c>
      <c r="G43" s="107" t="e">
        <f>SUM(G44:G69)</f>
        <v>#VALUE!</v>
      </c>
      <c r="J43" s="61"/>
    </row>
    <row r="44" spans="1:10" s="35" customFormat="1" x14ac:dyDescent="0.25">
      <c r="A44" s="109" t="s">
        <v>130</v>
      </c>
      <c r="B44" s="111">
        <v>8000</v>
      </c>
      <c r="C44" s="150" t="s">
        <v>338</v>
      </c>
      <c r="D44" s="110">
        <v>3321.54</v>
      </c>
      <c r="E44" s="110">
        <f>D44+1000</f>
        <v>4321.54</v>
      </c>
      <c r="F44" s="110"/>
      <c r="G44" s="110">
        <f>B44-F44</f>
        <v>8000</v>
      </c>
      <c r="J44" s="61"/>
    </row>
    <row r="45" spans="1:10" x14ac:dyDescent="0.25">
      <c r="A45" s="109" t="s">
        <v>131</v>
      </c>
      <c r="B45" s="111">
        <v>150000</v>
      </c>
      <c r="C45" s="150" t="s">
        <v>347</v>
      </c>
      <c r="D45" s="110">
        <v>31505.26</v>
      </c>
      <c r="E45" s="110">
        <f>D45+2000</f>
        <v>33505.259999999995</v>
      </c>
      <c r="F45" s="110"/>
      <c r="G45" s="110">
        <f>B45-F45</f>
        <v>150000</v>
      </c>
    </row>
    <row r="46" spans="1:10" x14ac:dyDescent="0.25">
      <c r="A46" s="109" t="s">
        <v>132</v>
      </c>
      <c r="B46" s="111">
        <v>35000</v>
      </c>
      <c r="C46" s="150" t="s">
        <v>366</v>
      </c>
      <c r="D46" s="110">
        <f>19833.72+6452</f>
        <v>26285.72</v>
      </c>
      <c r="E46" s="110">
        <f>D46+3000</f>
        <v>29285.72</v>
      </c>
      <c r="F46" s="110"/>
      <c r="G46" s="110">
        <f>B46-F46</f>
        <v>35000</v>
      </c>
    </row>
    <row r="47" spans="1:10" hidden="1" x14ac:dyDescent="0.25">
      <c r="A47" s="109" t="s">
        <v>133</v>
      </c>
      <c r="B47" s="111">
        <v>0</v>
      </c>
      <c r="C47" s="150"/>
      <c r="D47" s="110">
        <v>26069.67</v>
      </c>
      <c r="E47" s="110">
        <f>D47</f>
        <v>26069.67</v>
      </c>
      <c r="F47" s="110"/>
      <c r="G47" s="110"/>
    </row>
    <row r="48" spans="1:10" x14ac:dyDescent="0.25">
      <c r="A48" s="109" t="s">
        <v>134</v>
      </c>
      <c r="B48" s="111">
        <v>1000</v>
      </c>
      <c r="C48" s="150"/>
      <c r="D48" s="110">
        <v>108.65</v>
      </c>
      <c r="E48" s="110">
        <f>D48+500</f>
        <v>608.65</v>
      </c>
      <c r="F48" s="110"/>
      <c r="G48" s="110">
        <f t="shared" ref="G48:G69" si="2">B48-F48</f>
        <v>1000</v>
      </c>
    </row>
    <row r="49" spans="1:10" x14ac:dyDescent="0.25">
      <c r="A49" s="109" t="s">
        <v>135</v>
      </c>
      <c r="B49" s="111">
        <v>5000</v>
      </c>
      <c r="C49" s="150"/>
      <c r="D49" s="112">
        <v>2985</v>
      </c>
      <c r="E49" s="112">
        <f>D49+1500</f>
        <v>4485</v>
      </c>
      <c r="F49" s="112"/>
      <c r="G49" s="112">
        <f t="shared" si="2"/>
        <v>5000</v>
      </c>
    </row>
    <row r="50" spans="1:10" x14ac:dyDescent="0.25">
      <c r="A50" s="109" t="s">
        <v>136</v>
      </c>
      <c r="B50" s="111">
        <v>5000</v>
      </c>
      <c r="C50" s="150"/>
      <c r="D50" s="112">
        <v>4725</v>
      </c>
      <c r="E50" s="112">
        <f>D50</f>
        <v>4725</v>
      </c>
      <c r="F50" s="112"/>
      <c r="G50" s="112">
        <f t="shared" si="2"/>
        <v>5000</v>
      </c>
      <c r="J50" s="62"/>
    </row>
    <row r="51" spans="1:10" x14ac:dyDescent="0.25">
      <c r="A51" s="109" t="s">
        <v>137</v>
      </c>
      <c r="B51" s="111">
        <v>2000</v>
      </c>
      <c r="C51" s="150"/>
      <c r="D51" s="110">
        <v>1213.71</v>
      </c>
      <c r="E51" s="110">
        <f>D51+500</f>
        <v>1713.71</v>
      </c>
      <c r="F51" s="110"/>
      <c r="G51" s="110">
        <f t="shared" si="2"/>
        <v>2000</v>
      </c>
    </row>
    <row r="52" spans="1:10" x14ac:dyDescent="0.25">
      <c r="A52" s="109" t="s">
        <v>138</v>
      </c>
      <c r="B52" s="111">
        <v>250</v>
      </c>
      <c r="C52" s="150"/>
      <c r="D52" s="110">
        <v>176.66</v>
      </c>
      <c r="E52" s="110"/>
      <c r="F52" s="110"/>
      <c r="G52" s="110">
        <f t="shared" si="2"/>
        <v>250</v>
      </c>
    </row>
    <row r="53" spans="1:10" x14ac:dyDescent="0.25">
      <c r="A53" s="109" t="s">
        <v>139</v>
      </c>
      <c r="B53" s="111">
        <v>5000</v>
      </c>
      <c r="C53" s="150"/>
      <c r="D53" s="110">
        <v>6715.85</v>
      </c>
      <c r="E53" s="110">
        <f>D53+300</f>
        <v>7015.85</v>
      </c>
      <c r="F53" s="110"/>
      <c r="G53" s="110">
        <f t="shared" si="2"/>
        <v>5000</v>
      </c>
    </row>
    <row r="54" spans="1:10" x14ac:dyDescent="0.25">
      <c r="A54" s="109" t="s">
        <v>140</v>
      </c>
      <c r="B54" s="111">
        <v>1500</v>
      </c>
      <c r="C54" s="150"/>
      <c r="D54" s="110">
        <v>684.93</v>
      </c>
      <c r="E54" s="110">
        <f>D54</f>
        <v>684.93</v>
      </c>
      <c r="F54" s="110"/>
      <c r="G54" s="110">
        <f t="shared" si="2"/>
        <v>1500</v>
      </c>
    </row>
    <row r="55" spans="1:10" x14ac:dyDescent="0.25">
      <c r="A55" s="109" t="s">
        <v>141</v>
      </c>
      <c r="B55" s="111">
        <v>1500</v>
      </c>
      <c r="C55" s="150"/>
      <c r="D55" s="110">
        <v>1566.51</v>
      </c>
      <c r="E55" s="110"/>
      <c r="F55" s="110"/>
      <c r="G55" s="110">
        <f t="shared" si="2"/>
        <v>1500</v>
      </c>
    </row>
    <row r="56" spans="1:10" x14ac:dyDescent="0.25">
      <c r="A56" s="109" t="s">
        <v>142</v>
      </c>
      <c r="B56" s="111">
        <v>1000</v>
      </c>
      <c r="C56" s="150"/>
      <c r="D56" s="110">
        <v>593.23</v>
      </c>
      <c r="E56" s="110"/>
      <c r="F56" s="110"/>
      <c r="G56" s="110">
        <f t="shared" si="2"/>
        <v>1000</v>
      </c>
    </row>
    <row r="57" spans="1:10" x14ac:dyDescent="0.25">
      <c r="A57" s="109" t="s">
        <v>143</v>
      </c>
      <c r="B57" s="111">
        <v>1000</v>
      </c>
      <c r="C57" s="150"/>
      <c r="D57" s="110">
        <v>910.79</v>
      </c>
      <c r="E57" s="110">
        <f>D57+300</f>
        <v>1210.79</v>
      </c>
      <c r="F57" s="110"/>
      <c r="G57" s="110">
        <f t="shared" si="2"/>
        <v>1000</v>
      </c>
    </row>
    <row r="58" spans="1:10" x14ac:dyDescent="0.25">
      <c r="A58" s="109" t="s">
        <v>144</v>
      </c>
      <c r="B58" s="111">
        <v>1000</v>
      </c>
      <c r="C58" s="150"/>
      <c r="D58" s="110">
        <v>768.84</v>
      </c>
      <c r="E58" s="110">
        <f>D58+300</f>
        <v>1068.8400000000001</v>
      </c>
      <c r="F58" s="110"/>
      <c r="G58" s="110">
        <f t="shared" si="2"/>
        <v>1000</v>
      </c>
    </row>
    <row r="59" spans="1:10" x14ac:dyDescent="0.25">
      <c r="A59" s="109" t="s">
        <v>145</v>
      </c>
      <c r="B59" s="111">
        <v>50000</v>
      </c>
      <c r="C59" s="155" t="s">
        <v>349</v>
      </c>
      <c r="D59" s="113">
        <v>38230</v>
      </c>
      <c r="E59" s="113">
        <f>D59+4000*2</f>
        <v>46230</v>
      </c>
      <c r="F59" s="113" t="e">
        <f>C59-B59</f>
        <v>#VALUE!</v>
      </c>
      <c r="G59" s="113" t="e">
        <f t="shared" si="2"/>
        <v>#VALUE!</v>
      </c>
      <c r="J59" s="62"/>
    </row>
    <row r="60" spans="1:10" x14ac:dyDescent="0.25">
      <c r="A60" s="109" t="s">
        <v>146</v>
      </c>
      <c r="B60" s="111">
        <v>5000</v>
      </c>
      <c r="C60" s="150" t="s">
        <v>339</v>
      </c>
      <c r="D60" s="113">
        <v>8726.61</v>
      </c>
      <c r="E60" s="113">
        <f>D60+500</f>
        <v>9226.61</v>
      </c>
      <c r="F60" s="113" t="e">
        <f>C60-B60</f>
        <v>#VALUE!</v>
      </c>
      <c r="G60" s="113" t="e">
        <f t="shared" si="2"/>
        <v>#VALUE!</v>
      </c>
      <c r="J60" s="62"/>
    </row>
    <row r="61" spans="1:10" x14ac:dyDescent="0.25">
      <c r="A61" s="109" t="s">
        <v>147</v>
      </c>
      <c r="B61" s="111">
        <v>15000</v>
      </c>
      <c r="C61" s="150" t="s">
        <v>339</v>
      </c>
      <c r="D61" s="113">
        <v>12604.57</v>
      </c>
      <c r="E61" s="113">
        <f>D61+3000</f>
        <v>15604.57</v>
      </c>
      <c r="F61" s="113" t="e">
        <f>C61-B61</f>
        <v>#VALUE!</v>
      </c>
      <c r="G61" s="113" t="e">
        <f t="shared" si="2"/>
        <v>#VALUE!</v>
      </c>
      <c r="J61" s="62"/>
    </row>
    <row r="62" spans="1:10" x14ac:dyDescent="0.25">
      <c r="A62" s="109" t="s">
        <v>148</v>
      </c>
      <c r="B62" s="111">
        <v>1500</v>
      </c>
      <c r="C62" s="155"/>
      <c r="D62" s="112">
        <v>817</v>
      </c>
      <c r="E62" s="112">
        <v>1000</v>
      </c>
      <c r="F62" s="112">
        <f>C62-B62</f>
        <v>-1500</v>
      </c>
      <c r="G62" s="112">
        <f t="shared" si="2"/>
        <v>3000</v>
      </c>
      <c r="J62" s="62"/>
    </row>
    <row r="63" spans="1:10" x14ac:dyDescent="0.25">
      <c r="A63" s="109" t="s">
        <v>149</v>
      </c>
      <c r="B63" s="111">
        <v>1500</v>
      </c>
      <c r="C63" s="155"/>
      <c r="D63" s="110">
        <v>207</v>
      </c>
      <c r="E63" s="110">
        <f>D63+500</f>
        <v>707</v>
      </c>
      <c r="F63" s="110"/>
      <c r="G63" s="110">
        <f t="shared" si="2"/>
        <v>1500</v>
      </c>
      <c r="I63" t="s">
        <v>354</v>
      </c>
    </row>
    <row r="64" spans="1:10" x14ac:dyDescent="0.25">
      <c r="A64" s="109" t="s">
        <v>150</v>
      </c>
      <c r="B64" s="111">
        <v>400</v>
      </c>
      <c r="C64" s="155" t="s">
        <v>350</v>
      </c>
      <c r="D64" s="110">
        <v>181.76</v>
      </c>
      <c r="E64" s="110">
        <f>D64+100</f>
        <v>281.76</v>
      </c>
      <c r="F64" s="110"/>
      <c r="G64" s="110">
        <f t="shared" si="2"/>
        <v>400</v>
      </c>
    </row>
    <row r="65" spans="1:10" x14ac:dyDescent="0.25">
      <c r="A65" s="109" t="s">
        <v>151</v>
      </c>
      <c r="B65" s="111">
        <v>15000</v>
      </c>
      <c r="C65" s="155"/>
      <c r="D65" s="113">
        <v>11845.44</v>
      </c>
      <c r="E65" s="113">
        <f>D65+3000</f>
        <v>14845.44</v>
      </c>
      <c r="F65" s="113">
        <f>C65-B65</f>
        <v>-15000</v>
      </c>
      <c r="G65" s="113">
        <f t="shared" si="2"/>
        <v>30000</v>
      </c>
    </row>
    <row r="66" spans="1:10" x14ac:dyDescent="0.25">
      <c r="A66" s="109" t="s">
        <v>152</v>
      </c>
      <c r="B66" s="111">
        <v>25000</v>
      </c>
      <c r="C66" s="155"/>
      <c r="D66" s="113">
        <v>18897.39</v>
      </c>
      <c r="E66" s="113">
        <f>D66+3000</f>
        <v>21897.39</v>
      </c>
      <c r="F66" s="113"/>
      <c r="G66" s="113">
        <f t="shared" si="2"/>
        <v>25000</v>
      </c>
      <c r="I66" t="s">
        <v>357</v>
      </c>
      <c r="J66" s="62"/>
    </row>
    <row r="67" spans="1:10" hidden="1" x14ac:dyDescent="0.25">
      <c r="A67" s="109" t="s">
        <v>153</v>
      </c>
      <c r="B67" s="111">
        <v>0</v>
      </c>
      <c r="C67" s="155"/>
      <c r="D67" s="112"/>
      <c r="E67" s="112"/>
      <c r="F67" s="112"/>
      <c r="G67" s="112">
        <f t="shared" si="2"/>
        <v>0</v>
      </c>
      <c r="J67" s="62"/>
    </row>
    <row r="68" spans="1:10" x14ac:dyDescent="0.25">
      <c r="A68" s="109" t="s">
        <v>154</v>
      </c>
      <c r="B68" s="111">
        <v>12000</v>
      </c>
      <c r="C68" s="155" t="s">
        <v>351</v>
      </c>
      <c r="D68" s="113">
        <f>16686.28-8900</f>
        <v>7786.2799999999988</v>
      </c>
      <c r="E68" s="113">
        <f>D68+2000</f>
        <v>9786.2799999999988</v>
      </c>
      <c r="F68" s="113" t="e">
        <f>C68-B68</f>
        <v>#VALUE!</v>
      </c>
      <c r="G68" s="113" t="e">
        <f t="shared" si="2"/>
        <v>#VALUE!</v>
      </c>
    </row>
    <row r="69" spans="1:10" x14ac:dyDescent="0.25">
      <c r="A69" s="109" t="s">
        <v>155</v>
      </c>
      <c r="B69" s="111">
        <v>3000</v>
      </c>
      <c r="C69" s="155" t="s">
        <v>356</v>
      </c>
      <c r="D69" s="113">
        <v>6155.05</v>
      </c>
      <c r="E69" s="113">
        <f>D69+500</f>
        <v>6655.05</v>
      </c>
      <c r="F69" s="113" t="e">
        <f>C69-B69</f>
        <v>#VALUE!</v>
      </c>
      <c r="G69" s="113" t="e">
        <f t="shared" si="2"/>
        <v>#VALUE!</v>
      </c>
      <c r="I69" t="s">
        <v>359</v>
      </c>
    </row>
    <row r="70" spans="1:10" x14ac:dyDescent="0.25">
      <c r="A70" s="109"/>
      <c r="B70" s="111"/>
      <c r="C70" s="155"/>
      <c r="D70" s="110"/>
      <c r="E70" s="110"/>
      <c r="F70" s="110"/>
      <c r="G70" s="110"/>
    </row>
    <row r="71" spans="1:10" x14ac:dyDescent="0.25">
      <c r="A71" s="106" t="s">
        <v>156</v>
      </c>
      <c r="B71" s="157">
        <f>SUM(B72:B76)</f>
        <v>67500</v>
      </c>
      <c r="C71" s="155"/>
      <c r="D71" s="107">
        <f>SUM(D72:D76)</f>
        <v>15326.58</v>
      </c>
      <c r="E71" s="107">
        <f>SUM(E72:E76)</f>
        <v>16326.58</v>
      </c>
      <c r="F71" s="107">
        <f>SUM(F72:F76)</f>
        <v>0</v>
      </c>
      <c r="G71" s="107">
        <f>SUM(G72:G76)</f>
        <v>67500</v>
      </c>
    </row>
    <row r="72" spans="1:10" x14ac:dyDescent="0.25">
      <c r="A72" s="109" t="s">
        <v>157</v>
      </c>
      <c r="B72" s="111">
        <v>35000</v>
      </c>
      <c r="C72" s="155" t="s">
        <v>341</v>
      </c>
      <c r="D72" s="110"/>
      <c r="E72" s="110"/>
      <c r="F72" s="110"/>
      <c r="G72" s="110">
        <f>B72-F72</f>
        <v>35000</v>
      </c>
    </row>
    <row r="73" spans="1:10" x14ac:dyDescent="0.25">
      <c r="A73" s="109" t="s">
        <v>158</v>
      </c>
      <c r="B73" s="111">
        <v>10000</v>
      </c>
      <c r="C73" s="155"/>
      <c r="D73" s="110">
        <v>9866.58</v>
      </c>
      <c r="E73" s="110">
        <f>D73</f>
        <v>9866.58</v>
      </c>
      <c r="F73" s="110"/>
      <c r="G73" s="110">
        <f>B73-F73</f>
        <v>10000</v>
      </c>
    </row>
    <row r="74" spans="1:10" x14ac:dyDescent="0.25">
      <c r="A74" s="109" t="s">
        <v>159</v>
      </c>
      <c r="B74" s="111">
        <v>5000</v>
      </c>
      <c r="C74" s="155"/>
      <c r="D74" s="110">
        <v>2034</v>
      </c>
      <c r="E74" s="110">
        <f>D74</f>
        <v>2034</v>
      </c>
      <c r="F74" s="110"/>
      <c r="G74" s="110">
        <f>B74-F74</f>
        <v>5000</v>
      </c>
    </row>
    <row r="75" spans="1:10" x14ac:dyDescent="0.25">
      <c r="A75" s="109" t="s">
        <v>160</v>
      </c>
      <c r="B75" s="111">
        <v>16000</v>
      </c>
      <c r="C75" s="155" t="s">
        <v>360</v>
      </c>
      <c r="D75" s="110">
        <v>0</v>
      </c>
      <c r="E75" s="110">
        <v>0</v>
      </c>
      <c r="F75" s="110"/>
      <c r="G75" s="110">
        <f>B75-F75</f>
        <v>16000</v>
      </c>
    </row>
    <row r="76" spans="1:10" x14ac:dyDescent="0.25">
      <c r="A76" s="109" t="s">
        <v>161</v>
      </c>
      <c r="B76" s="111">
        <v>1500</v>
      </c>
      <c r="C76" s="155" t="s">
        <v>358</v>
      </c>
      <c r="D76" s="113">
        <v>3426</v>
      </c>
      <c r="E76" s="113">
        <f>D76+1000</f>
        <v>4426</v>
      </c>
      <c r="F76" s="113"/>
      <c r="G76" s="113">
        <f>B76-F76</f>
        <v>1500</v>
      </c>
    </row>
    <row r="77" spans="1:10" x14ac:dyDescent="0.25">
      <c r="A77" s="109"/>
      <c r="B77" s="111"/>
      <c r="C77" s="150"/>
      <c r="D77" s="110"/>
      <c r="E77" s="110"/>
      <c r="F77" s="110"/>
      <c r="G77" s="110"/>
    </row>
    <row r="78" spans="1:10" x14ac:dyDescent="0.25">
      <c r="A78" s="106" t="s">
        <v>162</v>
      </c>
      <c r="B78" s="157">
        <f>SUM(B79:B80)</f>
        <v>0</v>
      </c>
      <c r="C78" s="150"/>
      <c r="D78" s="107">
        <f>SUM(D79:D80)</f>
        <v>0</v>
      </c>
      <c r="E78" s="107">
        <f>SUM(E79:E80)</f>
        <v>0</v>
      </c>
      <c r="F78" s="107">
        <f>SUM(F79:F80)</f>
        <v>0</v>
      </c>
      <c r="G78" s="107">
        <f>SUM(G79:G80)</f>
        <v>0</v>
      </c>
    </row>
    <row r="79" spans="1:10" ht="14.25" customHeight="1" x14ac:dyDescent="0.25">
      <c r="A79" s="109" t="s">
        <v>163</v>
      </c>
      <c r="B79" s="111"/>
      <c r="C79" s="150" t="s">
        <v>352</v>
      </c>
      <c r="D79" s="110"/>
      <c r="E79" s="110"/>
      <c r="F79" s="110"/>
      <c r="G79" s="110">
        <f>B79-F79</f>
        <v>0</v>
      </c>
    </row>
    <row r="80" spans="1:10" ht="14.25" customHeight="1" x14ac:dyDescent="0.25">
      <c r="A80" s="109" t="s">
        <v>164</v>
      </c>
      <c r="B80" s="111"/>
      <c r="C80" s="150" t="s">
        <v>352</v>
      </c>
      <c r="D80" s="110"/>
      <c r="E80" s="110"/>
      <c r="F80" s="110"/>
      <c r="G80" s="110">
        <f>B80-F80</f>
        <v>0</v>
      </c>
    </row>
    <row r="81" spans="1:10" ht="14.25" customHeight="1" x14ac:dyDescent="0.25">
      <c r="A81" s="109"/>
      <c r="B81" s="111"/>
      <c r="C81" s="150"/>
      <c r="D81" s="110"/>
      <c r="E81" s="110"/>
      <c r="F81" s="110"/>
      <c r="G81" s="110"/>
    </row>
    <row r="82" spans="1:10" ht="14.25" customHeight="1" x14ac:dyDescent="0.25">
      <c r="A82" s="106" t="s">
        <v>165</v>
      </c>
      <c r="B82" s="157">
        <v>37300</v>
      </c>
      <c r="C82" s="150" t="s">
        <v>353</v>
      </c>
      <c r="D82" s="107">
        <v>32507</v>
      </c>
      <c r="E82" s="107">
        <f>D82+3000</f>
        <v>35507</v>
      </c>
      <c r="F82" s="107">
        <f>SUM(F83:F87)</f>
        <v>0</v>
      </c>
      <c r="G82" s="110">
        <f>B82-F82</f>
        <v>37300</v>
      </c>
    </row>
    <row r="83" spans="1:10" ht="14.25" customHeight="1" x14ac:dyDescent="0.25">
      <c r="A83" s="109"/>
      <c r="B83" s="111"/>
      <c r="C83" s="150"/>
      <c r="D83" s="110"/>
      <c r="E83" s="110"/>
      <c r="F83" s="110"/>
      <c r="G83" s="110"/>
    </row>
    <row r="84" spans="1:10" ht="14.25" customHeight="1" x14ac:dyDescent="0.25">
      <c r="A84" s="106" t="s">
        <v>28</v>
      </c>
      <c r="B84" s="157">
        <f>SUM(B85:B88)</f>
        <v>7500</v>
      </c>
      <c r="C84" s="150"/>
      <c r="D84" s="107">
        <f>SUM(D85:D88)</f>
        <v>2.7199999999999989</v>
      </c>
      <c r="E84" s="107">
        <f>SUM(E85:E88)</f>
        <v>200</v>
      </c>
      <c r="F84" s="107">
        <f>SUM(F85:F88)</f>
        <v>0</v>
      </c>
      <c r="G84" s="107">
        <f>SUM(G85:G88)</f>
        <v>7500</v>
      </c>
    </row>
    <row r="85" spans="1:10" ht="14.25" customHeight="1" x14ac:dyDescent="0.25">
      <c r="A85" s="109" t="s">
        <v>166</v>
      </c>
      <c r="B85" s="111">
        <v>2500</v>
      </c>
      <c r="C85" s="150"/>
      <c r="D85" s="110">
        <v>-139.09</v>
      </c>
      <c r="E85" s="110">
        <v>0</v>
      </c>
      <c r="F85" s="110"/>
      <c r="G85" s="110">
        <f>B85-F85</f>
        <v>2500</v>
      </c>
    </row>
    <row r="86" spans="1:10" ht="14.25" customHeight="1" x14ac:dyDescent="0.25">
      <c r="A86" s="109" t="s">
        <v>167</v>
      </c>
      <c r="B86" s="111">
        <v>5000</v>
      </c>
      <c r="C86" s="150"/>
      <c r="D86" s="110">
        <v>141.81</v>
      </c>
      <c r="E86" s="110">
        <v>200</v>
      </c>
      <c r="F86" s="110"/>
      <c r="G86" s="110">
        <f>B86-F86</f>
        <v>5000</v>
      </c>
    </row>
    <row r="87" spans="1:10" ht="14.25" customHeight="1" x14ac:dyDescent="0.25">
      <c r="A87" s="109"/>
      <c r="B87" s="111"/>
      <c r="C87" s="150"/>
      <c r="D87" s="110"/>
      <c r="E87" s="110"/>
      <c r="F87" s="110"/>
      <c r="G87" s="110"/>
    </row>
    <row r="88" spans="1:10" ht="14.25" customHeight="1" x14ac:dyDescent="0.25">
      <c r="A88" s="109"/>
      <c r="B88" s="111"/>
      <c r="C88" s="150"/>
      <c r="D88" s="110"/>
      <c r="E88" s="110"/>
      <c r="F88" s="110"/>
      <c r="G88" s="110"/>
    </row>
    <row r="89" spans="1:10" ht="14.25" customHeight="1" x14ac:dyDescent="0.25">
      <c r="A89" s="109"/>
      <c r="B89" s="111"/>
      <c r="C89" s="150"/>
      <c r="D89" s="110"/>
      <c r="E89" s="110"/>
      <c r="F89" s="110"/>
      <c r="G89" s="110"/>
    </row>
    <row r="90" spans="1:10" ht="14.25" customHeight="1" x14ac:dyDescent="0.25">
      <c r="A90" s="106" t="s">
        <v>26</v>
      </c>
      <c r="B90" s="157">
        <f>SUM(B91:B91)</f>
        <v>80000</v>
      </c>
      <c r="C90" s="150"/>
      <c r="D90" s="107">
        <f>SUM(D91:D91)</f>
        <v>174620.88</v>
      </c>
      <c r="E90" s="107">
        <f>SUM(E91:E91)</f>
        <v>307620.88</v>
      </c>
      <c r="F90" s="107">
        <f>SUM(F91:F91)</f>
        <v>0</v>
      </c>
      <c r="G90" s="107">
        <f>SUM(G91:G91)</f>
        <v>80000</v>
      </c>
    </row>
    <row r="91" spans="1:10" ht="14.25" customHeight="1" x14ac:dyDescent="0.25">
      <c r="A91" s="109" t="s">
        <v>168</v>
      </c>
      <c r="B91" s="147">
        <v>80000</v>
      </c>
      <c r="C91" s="150"/>
      <c r="D91" s="110">
        <v>174620.88</v>
      </c>
      <c r="E91" s="110">
        <f>D91+125000+8000</f>
        <v>307620.88</v>
      </c>
      <c r="F91" s="110"/>
      <c r="G91" s="110">
        <f>B91-F91</f>
        <v>80000</v>
      </c>
    </row>
    <row r="92" spans="1:10" ht="14.25" customHeight="1" x14ac:dyDescent="0.25">
      <c r="A92" s="109"/>
      <c r="B92" s="111"/>
      <c r="C92" s="150"/>
      <c r="D92" s="110"/>
      <c r="E92" s="110"/>
      <c r="F92" s="110"/>
      <c r="G92" s="110"/>
    </row>
    <row r="93" spans="1:10" ht="14.25" customHeight="1" x14ac:dyDescent="0.25">
      <c r="A93" s="106" t="s">
        <v>29</v>
      </c>
      <c r="B93" s="157">
        <v>510308</v>
      </c>
      <c r="C93" s="150" t="s">
        <v>355</v>
      </c>
      <c r="D93" s="108">
        <f>SUM('Bond Intercept Schedule'!F143:F153)</f>
        <v>462654.16666666663</v>
      </c>
      <c r="E93" s="108">
        <f>D93+'Bond Intercept Schedule'!F154</f>
        <v>504719.79166666663</v>
      </c>
      <c r="F93" s="108"/>
      <c r="G93" s="110">
        <f>B93-F93</f>
        <v>510308</v>
      </c>
    </row>
    <row r="94" spans="1:10" s="35" customFormat="1" x14ac:dyDescent="0.25">
      <c r="A94" s="109"/>
      <c r="B94" s="111"/>
      <c r="C94" s="150"/>
      <c r="D94" s="110"/>
      <c r="E94" s="110"/>
      <c r="F94" s="110"/>
      <c r="G94" s="110"/>
      <c r="J94" s="61"/>
    </row>
    <row r="95" spans="1:10" s="35" customFormat="1" x14ac:dyDescent="0.25">
      <c r="A95" s="106" t="s">
        <v>169</v>
      </c>
      <c r="B95" s="157">
        <f>'Bond Intercept Schedule'!H155*12+3000+2972*12</f>
        <v>44329</v>
      </c>
      <c r="C95" s="151"/>
      <c r="D95" s="108">
        <f>26493.8+7612.5</f>
        <v>34106.300000000003</v>
      </c>
      <c r="E95" s="108">
        <f>D95+2943.77+3431.27</f>
        <v>40481.339999999997</v>
      </c>
      <c r="F95" s="108"/>
      <c r="G95" s="108">
        <f>B95-F95</f>
        <v>44329</v>
      </c>
      <c r="J95" s="61"/>
    </row>
    <row r="96" spans="1:10" x14ac:dyDescent="0.25">
      <c r="A96" s="60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1F77-BD86-4D48-8D0E-0AE0E40B1BAC}">
  <dimension ref="A1:O374"/>
  <sheetViews>
    <sheetView zoomScaleNormal="85" workbookViewId="0">
      <pane xSplit="1" ySplit="6" topLeftCell="B167" activePane="bottomRight" state="frozen"/>
      <selection pane="topRight" activeCell="B1" sqref="B1"/>
      <selection pane="bottomLeft" activeCell="A7" sqref="A7"/>
      <selection pane="bottomRight" activeCell="D188" sqref="D188"/>
    </sheetView>
  </sheetViews>
  <sheetFormatPr defaultRowHeight="12.75" x14ac:dyDescent="0.2"/>
  <cols>
    <col min="1" max="1" width="13" style="80" customWidth="1"/>
    <col min="2" max="3" width="15" style="80" customWidth="1"/>
    <col min="4" max="4" width="15.28515625" style="80" customWidth="1"/>
    <col min="5" max="5" width="15" style="80" customWidth="1"/>
    <col min="6" max="9" width="15.85546875" style="80" customWidth="1"/>
    <col min="10" max="10" width="15.28515625" style="80" bestFit="1" customWidth="1"/>
    <col min="11" max="11" width="14.85546875" style="80" customWidth="1"/>
    <col min="12" max="256" width="9.140625" style="80"/>
    <col min="257" max="257" width="13" style="80" customWidth="1"/>
    <col min="258" max="259" width="15" style="80" customWidth="1"/>
    <col min="260" max="260" width="15.28515625" style="80" customWidth="1"/>
    <col min="261" max="261" width="15" style="80" customWidth="1"/>
    <col min="262" max="265" width="15.85546875" style="80" customWidth="1"/>
    <col min="266" max="266" width="15.28515625" style="80" bestFit="1" customWidth="1"/>
    <col min="267" max="267" width="14.85546875" style="80" customWidth="1"/>
    <col min="268" max="512" width="9.140625" style="80"/>
    <col min="513" max="513" width="13" style="80" customWidth="1"/>
    <col min="514" max="515" width="15" style="80" customWidth="1"/>
    <col min="516" max="516" width="15.28515625" style="80" customWidth="1"/>
    <col min="517" max="517" width="15" style="80" customWidth="1"/>
    <col min="518" max="521" width="15.85546875" style="80" customWidth="1"/>
    <col min="522" max="522" width="15.28515625" style="80" bestFit="1" customWidth="1"/>
    <col min="523" max="523" width="14.85546875" style="80" customWidth="1"/>
    <col min="524" max="768" width="9.140625" style="80"/>
    <col min="769" max="769" width="13" style="80" customWidth="1"/>
    <col min="770" max="771" width="15" style="80" customWidth="1"/>
    <col min="772" max="772" width="15.28515625" style="80" customWidth="1"/>
    <col min="773" max="773" width="15" style="80" customWidth="1"/>
    <col min="774" max="777" width="15.85546875" style="80" customWidth="1"/>
    <col min="778" max="778" width="15.28515625" style="80" bestFit="1" customWidth="1"/>
    <col min="779" max="779" width="14.85546875" style="80" customWidth="1"/>
    <col min="780" max="1024" width="9.140625" style="80"/>
    <col min="1025" max="1025" width="13" style="80" customWidth="1"/>
    <col min="1026" max="1027" width="15" style="80" customWidth="1"/>
    <col min="1028" max="1028" width="15.28515625" style="80" customWidth="1"/>
    <col min="1029" max="1029" width="15" style="80" customWidth="1"/>
    <col min="1030" max="1033" width="15.85546875" style="80" customWidth="1"/>
    <col min="1034" max="1034" width="15.28515625" style="80" bestFit="1" customWidth="1"/>
    <col min="1035" max="1035" width="14.85546875" style="80" customWidth="1"/>
    <col min="1036" max="1280" width="9.140625" style="80"/>
    <col min="1281" max="1281" width="13" style="80" customWidth="1"/>
    <col min="1282" max="1283" width="15" style="80" customWidth="1"/>
    <col min="1284" max="1284" width="15.28515625" style="80" customWidth="1"/>
    <col min="1285" max="1285" width="15" style="80" customWidth="1"/>
    <col min="1286" max="1289" width="15.85546875" style="80" customWidth="1"/>
    <col min="1290" max="1290" width="15.28515625" style="80" bestFit="1" customWidth="1"/>
    <col min="1291" max="1291" width="14.85546875" style="80" customWidth="1"/>
    <col min="1292" max="1536" width="9.140625" style="80"/>
    <col min="1537" max="1537" width="13" style="80" customWidth="1"/>
    <col min="1538" max="1539" width="15" style="80" customWidth="1"/>
    <col min="1540" max="1540" width="15.28515625" style="80" customWidth="1"/>
    <col min="1541" max="1541" width="15" style="80" customWidth="1"/>
    <col min="1542" max="1545" width="15.85546875" style="80" customWidth="1"/>
    <col min="1546" max="1546" width="15.28515625" style="80" bestFit="1" customWidth="1"/>
    <col min="1547" max="1547" width="14.85546875" style="80" customWidth="1"/>
    <col min="1548" max="1792" width="9.140625" style="80"/>
    <col min="1793" max="1793" width="13" style="80" customWidth="1"/>
    <col min="1794" max="1795" width="15" style="80" customWidth="1"/>
    <col min="1796" max="1796" width="15.28515625" style="80" customWidth="1"/>
    <col min="1797" max="1797" width="15" style="80" customWidth="1"/>
    <col min="1798" max="1801" width="15.85546875" style="80" customWidth="1"/>
    <col min="1802" max="1802" width="15.28515625" style="80" bestFit="1" customWidth="1"/>
    <col min="1803" max="1803" width="14.85546875" style="80" customWidth="1"/>
    <col min="1804" max="2048" width="9.140625" style="80"/>
    <col min="2049" max="2049" width="13" style="80" customWidth="1"/>
    <col min="2050" max="2051" width="15" style="80" customWidth="1"/>
    <col min="2052" max="2052" width="15.28515625" style="80" customWidth="1"/>
    <col min="2053" max="2053" width="15" style="80" customWidth="1"/>
    <col min="2054" max="2057" width="15.85546875" style="80" customWidth="1"/>
    <col min="2058" max="2058" width="15.28515625" style="80" bestFit="1" customWidth="1"/>
    <col min="2059" max="2059" width="14.85546875" style="80" customWidth="1"/>
    <col min="2060" max="2304" width="9.140625" style="80"/>
    <col min="2305" max="2305" width="13" style="80" customWidth="1"/>
    <col min="2306" max="2307" width="15" style="80" customWidth="1"/>
    <col min="2308" max="2308" width="15.28515625" style="80" customWidth="1"/>
    <col min="2309" max="2309" width="15" style="80" customWidth="1"/>
    <col min="2310" max="2313" width="15.85546875" style="80" customWidth="1"/>
    <col min="2314" max="2314" width="15.28515625" style="80" bestFit="1" customWidth="1"/>
    <col min="2315" max="2315" width="14.85546875" style="80" customWidth="1"/>
    <col min="2316" max="2560" width="9.140625" style="80"/>
    <col min="2561" max="2561" width="13" style="80" customWidth="1"/>
    <col min="2562" max="2563" width="15" style="80" customWidth="1"/>
    <col min="2564" max="2564" width="15.28515625" style="80" customWidth="1"/>
    <col min="2565" max="2565" width="15" style="80" customWidth="1"/>
    <col min="2566" max="2569" width="15.85546875" style="80" customWidth="1"/>
    <col min="2570" max="2570" width="15.28515625" style="80" bestFit="1" customWidth="1"/>
    <col min="2571" max="2571" width="14.85546875" style="80" customWidth="1"/>
    <col min="2572" max="2816" width="9.140625" style="80"/>
    <col min="2817" max="2817" width="13" style="80" customWidth="1"/>
    <col min="2818" max="2819" width="15" style="80" customWidth="1"/>
    <col min="2820" max="2820" width="15.28515625" style="80" customWidth="1"/>
    <col min="2821" max="2821" width="15" style="80" customWidth="1"/>
    <col min="2822" max="2825" width="15.85546875" style="80" customWidth="1"/>
    <col min="2826" max="2826" width="15.28515625" style="80" bestFit="1" customWidth="1"/>
    <col min="2827" max="2827" width="14.85546875" style="80" customWidth="1"/>
    <col min="2828" max="3072" width="9.140625" style="80"/>
    <col min="3073" max="3073" width="13" style="80" customWidth="1"/>
    <col min="3074" max="3075" width="15" style="80" customWidth="1"/>
    <col min="3076" max="3076" width="15.28515625" style="80" customWidth="1"/>
    <col min="3077" max="3077" width="15" style="80" customWidth="1"/>
    <col min="3078" max="3081" width="15.85546875" style="80" customWidth="1"/>
    <col min="3082" max="3082" width="15.28515625" style="80" bestFit="1" customWidth="1"/>
    <col min="3083" max="3083" width="14.85546875" style="80" customWidth="1"/>
    <col min="3084" max="3328" width="9.140625" style="80"/>
    <col min="3329" max="3329" width="13" style="80" customWidth="1"/>
    <col min="3330" max="3331" width="15" style="80" customWidth="1"/>
    <col min="3332" max="3332" width="15.28515625" style="80" customWidth="1"/>
    <col min="3333" max="3333" width="15" style="80" customWidth="1"/>
    <col min="3334" max="3337" width="15.85546875" style="80" customWidth="1"/>
    <col min="3338" max="3338" width="15.28515625" style="80" bestFit="1" customWidth="1"/>
    <col min="3339" max="3339" width="14.85546875" style="80" customWidth="1"/>
    <col min="3340" max="3584" width="9.140625" style="80"/>
    <col min="3585" max="3585" width="13" style="80" customWidth="1"/>
    <col min="3586" max="3587" width="15" style="80" customWidth="1"/>
    <col min="3588" max="3588" width="15.28515625" style="80" customWidth="1"/>
    <col min="3589" max="3589" width="15" style="80" customWidth="1"/>
    <col min="3590" max="3593" width="15.85546875" style="80" customWidth="1"/>
    <col min="3594" max="3594" width="15.28515625" style="80" bestFit="1" customWidth="1"/>
    <col min="3595" max="3595" width="14.85546875" style="80" customWidth="1"/>
    <col min="3596" max="3840" width="9.140625" style="80"/>
    <col min="3841" max="3841" width="13" style="80" customWidth="1"/>
    <col min="3842" max="3843" width="15" style="80" customWidth="1"/>
    <col min="3844" max="3844" width="15.28515625" style="80" customWidth="1"/>
    <col min="3845" max="3845" width="15" style="80" customWidth="1"/>
    <col min="3846" max="3849" width="15.85546875" style="80" customWidth="1"/>
    <col min="3850" max="3850" width="15.28515625" style="80" bestFit="1" customWidth="1"/>
    <col min="3851" max="3851" width="14.85546875" style="80" customWidth="1"/>
    <col min="3852" max="4096" width="9.140625" style="80"/>
    <col min="4097" max="4097" width="13" style="80" customWidth="1"/>
    <col min="4098" max="4099" width="15" style="80" customWidth="1"/>
    <col min="4100" max="4100" width="15.28515625" style="80" customWidth="1"/>
    <col min="4101" max="4101" width="15" style="80" customWidth="1"/>
    <col min="4102" max="4105" width="15.85546875" style="80" customWidth="1"/>
    <col min="4106" max="4106" width="15.28515625" style="80" bestFit="1" customWidth="1"/>
    <col min="4107" max="4107" width="14.85546875" style="80" customWidth="1"/>
    <col min="4108" max="4352" width="9.140625" style="80"/>
    <col min="4353" max="4353" width="13" style="80" customWidth="1"/>
    <col min="4354" max="4355" width="15" style="80" customWidth="1"/>
    <col min="4356" max="4356" width="15.28515625" style="80" customWidth="1"/>
    <col min="4357" max="4357" width="15" style="80" customWidth="1"/>
    <col min="4358" max="4361" width="15.85546875" style="80" customWidth="1"/>
    <col min="4362" max="4362" width="15.28515625" style="80" bestFit="1" customWidth="1"/>
    <col min="4363" max="4363" width="14.85546875" style="80" customWidth="1"/>
    <col min="4364" max="4608" width="9.140625" style="80"/>
    <col min="4609" max="4609" width="13" style="80" customWidth="1"/>
    <col min="4610" max="4611" width="15" style="80" customWidth="1"/>
    <col min="4612" max="4612" width="15.28515625" style="80" customWidth="1"/>
    <col min="4613" max="4613" width="15" style="80" customWidth="1"/>
    <col min="4614" max="4617" width="15.85546875" style="80" customWidth="1"/>
    <col min="4618" max="4618" width="15.28515625" style="80" bestFit="1" customWidth="1"/>
    <col min="4619" max="4619" width="14.85546875" style="80" customWidth="1"/>
    <col min="4620" max="4864" width="9.140625" style="80"/>
    <col min="4865" max="4865" width="13" style="80" customWidth="1"/>
    <col min="4866" max="4867" width="15" style="80" customWidth="1"/>
    <col min="4868" max="4868" width="15.28515625" style="80" customWidth="1"/>
    <col min="4869" max="4869" width="15" style="80" customWidth="1"/>
    <col min="4870" max="4873" width="15.85546875" style="80" customWidth="1"/>
    <col min="4874" max="4874" width="15.28515625" style="80" bestFit="1" customWidth="1"/>
    <col min="4875" max="4875" width="14.85546875" style="80" customWidth="1"/>
    <col min="4876" max="5120" width="9.140625" style="80"/>
    <col min="5121" max="5121" width="13" style="80" customWidth="1"/>
    <col min="5122" max="5123" width="15" style="80" customWidth="1"/>
    <col min="5124" max="5124" width="15.28515625" style="80" customWidth="1"/>
    <col min="5125" max="5125" width="15" style="80" customWidth="1"/>
    <col min="5126" max="5129" width="15.85546875" style="80" customWidth="1"/>
    <col min="5130" max="5130" width="15.28515625" style="80" bestFit="1" customWidth="1"/>
    <col min="5131" max="5131" width="14.85546875" style="80" customWidth="1"/>
    <col min="5132" max="5376" width="9.140625" style="80"/>
    <col min="5377" max="5377" width="13" style="80" customWidth="1"/>
    <col min="5378" max="5379" width="15" style="80" customWidth="1"/>
    <col min="5380" max="5380" width="15.28515625" style="80" customWidth="1"/>
    <col min="5381" max="5381" width="15" style="80" customWidth="1"/>
    <col min="5382" max="5385" width="15.85546875" style="80" customWidth="1"/>
    <col min="5386" max="5386" width="15.28515625" style="80" bestFit="1" customWidth="1"/>
    <col min="5387" max="5387" width="14.85546875" style="80" customWidth="1"/>
    <col min="5388" max="5632" width="9.140625" style="80"/>
    <col min="5633" max="5633" width="13" style="80" customWidth="1"/>
    <col min="5634" max="5635" width="15" style="80" customWidth="1"/>
    <col min="5636" max="5636" width="15.28515625" style="80" customWidth="1"/>
    <col min="5637" max="5637" width="15" style="80" customWidth="1"/>
    <col min="5638" max="5641" width="15.85546875" style="80" customWidth="1"/>
    <col min="5642" max="5642" width="15.28515625" style="80" bestFit="1" customWidth="1"/>
    <col min="5643" max="5643" width="14.85546875" style="80" customWidth="1"/>
    <col min="5644" max="5888" width="9.140625" style="80"/>
    <col min="5889" max="5889" width="13" style="80" customWidth="1"/>
    <col min="5890" max="5891" width="15" style="80" customWidth="1"/>
    <col min="5892" max="5892" width="15.28515625" style="80" customWidth="1"/>
    <col min="5893" max="5893" width="15" style="80" customWidth="1"/>
    <col min="5894" max="5897" width="15.85546875" style="80" customWidth="1"/>
    <col min="5898" max="5898" width="15.28515625" style="80" bestFit="1" customWidth="1"/>
    <col min="5899" max="5899" width="14.85546875" style="80" customWidth="1"/>
    <col min="5900" max="6144" width="9.140625" style="80"/>
    <col min="6145" max="6145" width="13" style="80" customWidth="1"/>
    <col min="6146" max="6147" width="15" style="80" customWidth="1"/>
    <col min="6148" max="6148" width="15.28515625" style="80" customWidth="1"/>
    <col min="6149" max="6149" width="15" style="80" customWidth="1"/>
    <col min="6150" max="6153" width="15.85546875" style="80" customWidth="1"/>
    <col min="6154" max="6154" width="15.28515625" style="80" bestFit="1" customWidth="1"/>
    <col min="6155" max="6155" width="14.85546875" style="80" customWidth="1"/>
    <col min="6156" max="6400" width="9.140625" style="80"/>
    <col min="6401" max="6401" width="13" style="80" customWidth="1"/>
    <col min="6402" max="6403" width="15" style="80" customWidth="1"/>
    <col min="6404" max="6404" width="15.28515625" style="80" customWidth="1"/>
    <col min="6405" max="6405" width="15" style="80" customWidth="1"/>
    <col min="6406" max="6409" width="15.85546875" style="80" customWidth="1"/>
    <col min="6410" max="6410" width="15.28515625" style="80" bestFit="1" customWidth="1"/>
    <col min="6411" max="6411" width="14.85546875" style="80" customWidth="1"/>
    <col min="6412" max="6656" width="9.140625" style="80"/>
    <col min="6657" max="6657" width="13" style="80" customWidth="1"/>
    <col min="6658" max="6659" width="15" style="80" customWidth="1"/>
    <col min="6660" max="6660" width="15.28515625" style="80" customWidth="1"/>
    <col min="6661" max="6661" width="15" style="80" customWidth="1"/>
    <col min="6662" max="6665" width="15.85546875" style="80" customWidth="1"/>
    <col min="6666" max="6666" width="15.28515625" style="80" bestFit="1" customWidth="1"/>
    <col min="6667" max="6667" width="14.85546875" style="80" customWidth="1"/>
    <col min="6668" max="6912" width="9.140625" style="80"/>
    <col min="6913" max="6913" width="13" style="80" customWidth="1"/>
    <col min="6914" max="6915" width="15" style="80" customWidth="1"/>
    <col min="6916" max="6916" width="15.28515625" style="80" customWidth="1"/>
    <col min="6917" max="6917" width="15" style="80" customWidth="1"/>
    <col min="6918" max="6921" width="15.85546875" style="80" customWidth="1"/>
    <col min="6922" max="6922" width="15.28515625" style="80" bestFit="1" customWidth="1"/>
    <col min="6923" max="6923" width="14.85546875" style="80" customWidth="1"/>
    <col min="6924" max="7168" width="9.140625" style="80"/>
    <col min="7169" max="7169" width="13" style="80" customWidth="1"/>
    <col min="7170" max="7171" width="15" style="80" customWidth="1"/>
    <col min="7172" max="7172" width="15.28515625" style="80" customWidth="1"/>
    <col min="7173" max="7173" width="15" style="80" customWidth="1"/>
    <col min="7174" max="7177" width="15.85546875" style="80" customWidth="1"/>
    <col min="7178" max="7178" width="15.28515625" style="80" bestFit="1" customWidth="1"/>
    <col min="7179" max="7179" width="14.85546875" style="80" customWidth="1"/>
    <col min="7180" max="7424" width="9.140625" style="80"/>
    <col min="7425" max="7425" width="13" style="80" customWidth="1"/>
    <col min="7426" max="7427" width="15" style="80" customWidth="1"/>
    <col min="7428" max="7428" width="15.28515625" style="80" customWidth="1"/>
    <col min="7429" max="7429" width="15" style="80" customWidth="1"/>
    <col min="7430" max="7433" width="15.85546875" style="80" customWidth="1"/>
    <col min="7434" max="7434" width="15.28515625" style="80" bestFit="1" customWidth="1"/>
    <col min="7435" max="7435" width="14.85546875" style="80" customWidth="1"/>
    <col min="7436" max="7680" width="9.140625" style="80"/>
    <col min="7681" max="7681" width="13" style="80" customWidth="1"/>
    <col min="7682" max="7683" width="15" style="80" customWidth="1"/>
    <col min="7684" max="7684" width="15.28515625" style="80" customWidth="1"/>
    <col min="7685" max="7685" width="15" style="80" customWidth="1"/>
    <col min="7686" max="7689" width="15.85546875" style="80" customWidth="1"/>
    <col min="7690" max="7690" width="15.28515625" style="80" bestFit="1" customWidth="1"/>
    <col min="7691" max="7691" width="14.85546875" style="80" customWidth="1"/>
    <col min="7692" max="7936" width="9.140625" style="80"/>
    <col min="7937" max="7937" width="13" style="80" customWidth="1"/>
    <col min="7938" max="7939" width="15" style="80" customWidth="1"/>
    <col min="7940" max="7940" width="15.28515625" style="80" customWidth="1"/>
    <col min="7941" max="7941" width="15" style="80" customWidth="1"/>
    <col min="7942" max="7945" width="15.85546875" style="80" customWidth="1"/>
    <col min="7946" max="7946" width="15.28515625" style="80" bestFit="1" customWidth="1"/>
    <col min="7947" max="7947" width="14.85546875" style="80" customWidth="1"/>
    <col min="7948" max="8192" width="9.140625" style="80"/>
    <col min="8193" max="8193" width="13" style="80" customWidth="1"/>
    <col min="8194" max="8195" width="15" style="80" customWidth="1"/>
    <col min="8196" max="8196" width="15.28515625" style="80" customWidth="1"/>
    <col min="8197" max="8197" width="15" style="80" customWidth="1"/>
    <col min="8198" max="8201" width="15.85546875" style="80" customWidth="1"/>
    <col min="8202" max="8202" width="15.28515625" style="80" bestFit="1" customWidth="1"/>
    <col min="8203" max="8203" width="14.85546875" style="80" customWidth="1"/>
    <col min="8204" max="8448" width="9.140625" style="80"/>
    <col min="8449" max="8449" width="13" style="80" customWidth="1"/>
    <col min="8450" max="8451" width="15" style="80" customWidth="1"/>
    <col min="8452" max="8452" width="15.28515625" style="80" customWidth="1"/>
    <col min="8453" max="8453" width="15" style="80" customWidth="1"/>
    <col min="8454" max="8457" width="15.85546875" style="80" customWidth="1"/>
    <col min="8458" max="8458" width="15.28515625" style="80" bestFit="1" customWidth="1"/>
    <col min="8459" max="8459" width="14.85546875" style="80" customWidth="1"/>
    <col min="8460" max="8704" width="9.140625" style="80"/>
    <col min="8705" max="8705" width="13" style="80" customWidth="1"/>
    <col min="8706" max="8707" width="15" style="80" customWidth="1"/>
    <col min="8708" max="8708" width="15.28515625" style="80" customWidth="1"/>
    <col min="8709" max="8709" width="15" style="80" customWidth="1"/>
    <col min="8710" max="8713" width="15.85546875" style="80" customWidth="1"/>
    <col min="8714" max="8714" width="15.28515625" style="80" bestFit="1" customWidth="1"/>
    <col min="8715" max="8715" width="14.85546875" style="80" customWidth="1"/>
    <col min="8716" max="8960" width="9.140625" style="80"/>
    <col min="8961" max="8961" width="13" style="80" customWidth="1"/>
    <col min="8962" max="8963" width="15" style="80" customWidth="1"/>
    <col min="8964" max="8964" width="15.28515625" style="80" customWidth="1"/>
    <col min="8965" max="8965" width="15" style="80" customWidth="1"/>
    <col min="8966" max="8969" width="15.85546875" style="80" customWidth="1"/>
    <col min="8970" max="8970" width="15.28515625" style="80" bestFit="1" customWidth="1"/>
    <col min="8971" max="8971" width="14.85546875" style="80" customWidth="1"/>
    <col min="8972" max="9216" width="9.140625" style="80"/>
    <col min="9217" max="9217" width="13" style="80" customWidth="1"/>
    <col min="9218" max="9219" width="15" style="80" customWidth="1"/>
    <col min="9220" max="9220" width="15.28515625" style="80" customWidth="1"/>
    <col min="9221" max="9221" width="15" style="80" customWidth="1"/>
    <col min="9222" max="9225" width="15.85546875" style="80" customWidth="1"/>
    <col min="9226" max="9226" width="15.28515625" style="80" bestFit="1" customWidth="1"/>
    <col min="9227" max="9227" width="14.85546875" style="80" customWidth="1"/>
    <col min="9228" max="9472" width="9.140625" style="80"/>
    <col min="9473" max="9473" width="13" style="80" customWidth="1"/>
    <col min="9474" max="9475" width="15" style="80" customWidth="1"/>
    <col min="9476" max="9476" width="15.28515625" style="80" customWidth="1"/>
    <col min="9477" max="9477" width="15" style="80" customWidth="1"/>
    <col min="9478" max="9481" width="15.85546875" style="80" customWidth="1"/>
    <col min="9482" max="9482" width="15.28515625" style="80" bestFit="1" customWidth="1"/>
    <col min="9483" max="9483" width="14.85546875" style="80" customWidth="1"/>
    <col min="9484" max="9728" width="9.140625" style="80"/>
    <col min="9729" max="9729" width="13" style="80" customWidth="1"/>
    <col min="9730" max="9731" width="15" style="80" customWidth="1"/>
    <col min="9732" max="9732" width="15.28515625" style="80" customWidth="1"/>
    <col min="9733" max="9733" width="15" style="80" customWidth="1"/>
    <col min="9734" max="9737" width="15.85546875" style="80" customWidth="1"/>
    <col min="9738" max="9738" width="15.28515625" style="80" bestFit="1" customWidth="1"/>
    <col min="9739" max="9739" width="14.85546875" style="80" customWidth="1"/>
    <col min="9740" max="9984" width="9.140625" style="80"/>
    <col min="9985" max="9985" width="13" style="80" customWidth="1"/>
    <col min="9986" max="9987" width="15" style="80" customWidth="1"/>
    <col min="9988" max="9988" width="15.28515625" style="80" customWidth="1"/>
    <col min="9989" max="9989" width="15" style="80" customWidth="1"/>
    <col min="9990" max="9993" width="15.85546875" style="80" customWidth="1"/>
    <col min="9994" max="9994" width="15.28515625" style="80" bestFit="1" customWidth="1"/>
    <col min="9995" max="9995" width="14.85546875" style="80" customWidth="1"/>
    <col min="9996" max="10240" width="9.140625" style="80"/>
    <col min="10241" max="10241" width="13" style="80" customWidth="1"/>
    <col min="10242" max="10243" width="15" style="80" customWidth="1"/>
    <col min="10244" max="10244" width="15.28515625" style="80" customWidth="1"/>
    <col min="10245" max="10245" width="15" style="80" customWidth="1"/>
    <col min="10246" max="10249" width="15.85546875" style="80" customWidth="1"/>
    <col min="10250" max="10250" width="15.28515625" style="80" bestFit="1" customWidth="1"/>
    <col min="10251" max="10251" width="14.85546875" style="80" customWidth="1"/>
    <col min="10252" max="10496" width="9.140625" style="80"/>
    <col min="10497" max="10497" width="13" style="80" customWidth="1"/>
    <col min="10498" max="10499" width="15" style="80" customWidth="1"/>
    <col min="10500" max="10500" width="15.28515625" style="80" customWidth="1"/>
    <col min="10501" max="10501" width="15" style="80" customWidth="1"/>
    <col min="10502" max="10505" width="15.85546875" style="80" customWidth="1"/>
    <col min="10506" max="10506" width="15.28515625" style="80" bestFit="1" customWidth="1"/>
    <col min="10507" max="10507" width="14.85546875" style="80" customWidth="1"/>
    <col min="10508" max="10752" width="9.140625" style="80"/>
    <col min="10753" max="10753" width="13" style="80" customWidth="1"/>
    <col min="10754" max="10755" width="15" style="80" customWidth="1"/>
    <col min="10756" max="10756" width="15.28515625" style="80" customWidth="1"/>
    <col min="10757" max="10757" width="15" style="80" customWidth="1"/>
    <col min="10758" max="10761" width="15.85546875" style="80" customWidth="1"/>
    <col min="10762" max="10762" width="15.28515625" style="80" bestFit="1" customWidth="1"/>
    <col min="10763" max="10763" width="14.85546875" style="80" customWidth="1"/>
    <col min="10764" max="11008" width="9.140625" style="80"/>
    <col min="11009" max="11009" width="13" style="80" customWidth="1"/>
    <col min="11010" max="11011" width="15" style="80" customWidth="1"/>
    <col min="11012" max="11012" width="15.28515625" style="80" customWidth="1"/>
    <col min="11013" max="11013" width="15" style="80" customWidth="1"/>
    <col min="11014" max="11017" width="15.85546875" style="80" customWidth="1"/>
    <col min="11018" max="11018" width="15.28515625" style="80" bestFit="1" customWidth="1"/>
    <col min="11019" max="11019" width="14.85546875" style="80" customWidth="1"/>
    <col min="11020" max="11264" width="9.140625" style="80"/>
    <col min="11265" max="11265" width="13" style="80" customWidth="1"/>
    <col min="11266" max="11267" width="15" style="80" customWidth="1"/>
    <col min="11268" max="11268" width="15.28515625" style="80" customWidth="1"/>
    <col min="11269" max="11269" width="15" style="80" customWidth="1"/>
    <col min="11270" max="11273" width="15.85546875" style="80" customWidth="1"/>
    <col min="11274" max="11274" width="15.28515625" style="80" bestFit="1" customWidth="1"/>
    <col min="11275" max="11275" width="14.85546875" style="80" customWidth="1"/>
    <col min="11276" max="11520" width="9.140625" style="80"/>
    <col min="11521" max="11521" width="13" style="80" customWidth="1"/>
    <col min="11522" max="11523" width="15" style="80" customWidth="1"/>
    <col min="11524" max="11524" width="15.28515625" style="80" customWidth="1"/>
    <col min="11525" max="11525" width="15" style="80" customWidth="1"/>
    <col min="11526" max="11529" width="15.85546875" style="80" customWidth="1"/>
    <col min="11530" max="11530" width="15.28515625" style="80" bestFit="1" customWidth="1"/>
    <col min="11531" max="11531" width="14.85546875" style="80" customWidth="1"/>
    <col min="11532" max="11776" width="9.140625" style="80"/>
    <col min="11777" max="11777" width="13" style="80" customWidth="1"/>
    <col min="11778" max="11779" width="15" style="80" customWidth="1"/>
    <col min="11780" max="11780" width="15.28515625" style="80" customWidth="1"/>
    <col min="11781" max="11781" width="15" style="80" customWidth="1"/>
    <col min="11782" max="11785" width="15.85546875" style="80" customWidth="1"/>
    <col min="11786" max="11786" width="15.28515625" style="80" bestFit="1" customWidth="1"/>
    <col min="11787" max="11787" width="14.85546875" style="80" customWidth="1"/>
    <col min="11788" max="12032" width="9.140625" style="80"/>
    <col min="12033" max="12033" width="13" style="80" customWidth="1"/>
    <col min="12034" max="12035" width="15" style="80" customWidth="1"/>
    <col min="12036" max="12036" width="15.28515625" style="80" customWidth="1"/>
    <col min="12037" max="12037" width="15" style="80" customWidth="1"/>
    <col min="12038" max="12041" width="15.85546875" style="80" customWidth="1"/>
    <col min="12042" max="12042" width="15.28515625" style="80" bestFit="1" customWidth="1"/>
    <col min="12043" max="12043" width="14.85546875" style="80" customWidth="1"/>
    <col min="12044" max="12288" width="9.140625" style="80"/>
    <col min="12289" max="12289" width="13" style="80" customWidth="1"/>
    <col min="12290" max="12291" width="15" style="80" customWidth="1"/>
    <col min="12292" max="12292" width="15.28515625" style="80" customWidth="1"/>
    <col min="12293" max="12293" width="15" style="80" customWidth="1"/>
    <col min="12294" max="12297" width="15.85546875" style="80" customWidth="1"/>
    <col min="12298" max="12298" width="15.28515625" style="80" bestFit="1" customWidth="1"/>
    <col min="12299" max="12299" width="14.85546875" style="80" customWidth="1"/>
    <col min="12300" max="12544" width="9.140625" style="80"/>
    <col min="12545" max="12545" width="13" style="80" customWidth="1"/>
    <col min="12546" max="12547" width="15" style="80" customWidth="1"/>
    <col min="12548" max="12548" width="15.28515625" style="80" customWidth="1"/>
    <col min="12549" max="12549" width="15" style="80" customWidth="1"/>
    <col min="12550" max="12553" width="15.85546875" style="80" customWidth="1"/>
    <col min="12554" max="12554" width="15.28515625" style="80" bestFit="1" customWidth="1"/>
    <col min="12555" max="12555" width="14.85546875" style="80" customWidth="1"/>
    <col min="12556" max="12800" width="9.140625" style="80"/>
    <col min="12801" max="12801" width="13" style="80" customWidth="1"/>
    <col min="12802" max="12803" width="15" style="80" customWidth="1"/>
    <col min="12804" max="12804" width="15.28515625" style="80" customWidth="1"/>
    <col min="12805" max="12805" width="15" style="80" customWidth="1"/>
    <col min="12806" max="12809" width="15.85546875" style="80" customWidth="1"/>
    <col min="12810" max="12810" width="15.28515625" style="80" bestFit="1" customWidth="1"/>
    <col min="12811" max="12811" width="14.85546875" style="80" customWidth="1"/>
    <col min="12812" max="13056" width="9.140625" style="80"/>
    <col min="13057" max="13057" width="13" style="80" customWidth="1"/>
    <col min="13058" max="13059" width="15" style="80" customWidth="1"/>
    <col min="13060" max="13060" width="15.28515625" style="80" customWidth="1"/>
    <col min="13061" max="13061" width="15" style="80" customWidth="1"/>
    <col min="13062" max="13065" width="15.85546875" style="80" customWidth="1"/>
    <col min="13066" max="13066" width="15.28515625" style="80" bestFit="1" customWidth="1"/>
    <col min="13067" max="13067" width="14.85546875" style="80" customWidth="1"/>
    <col min="13068" max="13312" width="9.140625" style="80"/>
    <col min="13313" max="13313" width="13" style="80" customWidth="1"/>
    <col min="13314" max="13315" width="15" style="80" customWidth="1"/>
    <col min="13316" max="13316" width="15.28515625" style="80" customWidth="1"/>
    <col min="13317" max="13317" width="15" style="80" customWidth="1"/>
    <col min="13318" max="13321" width="15.85546875" style="80" customWidth="1"/>
    <col min="13322" max="13322" width="15.28515625" style="80" bestFit="1" customWidth="1"/>
    <col min="13323" max="13323" width="14.85546875" style="80" customWidth="1"/>
    <col min="13324" max="13568" width="9.140625" style="80"/>
    <col min="13569" max="13569" width="13" style="80" customWidth="1"/>
    <col min="13570" max="13571" width="15" style="80" customWidth="1"/>
    <col min="13572" max="13572" width="15.28515625" style="80" customWidth="1"/>
    <col min="13573" max="13573" width="15" style="80" customWidth="1"/>
    <col min="13574" max="13577" width="15.85546875" style="80" customWidth="1"/>
    <col min="13578" max="13578" width="15.28515625" style="80" bestFit="1" customWidth="1"/>
    <col min="13579" max="13579" width="14.85546875" style="80" customWidth="1"/>
    <col min="13580" max="13824" width="9.140625" style="80"/>
    <col min="13825" max="13825" width="13" style="80" customWidth="1"/>
    <col min="13826" max="13827" width="15" style="80" customWidth="1"/>
    <col min="13828" max="13828" width="15.28515625" style="80" customWidth="1"/>
    <col min="13829" max="13829" width="15" style="80" customWidth="1"/>
    <col min="13830" max="13833" width="15.85546875" style="80" customWidth="1"/>
    <col min="13834" max="13834" width="15.28515625" style="80" bestFit="1" customWidth="1"/>
    <col min="13835" max="13835" width="14.85546875" style="80" customWidth="1"/>
    <col min="13836" max="14080" width="9.140625" style="80"/>
    <col min="14081" max="14081" width="13" style="80" customWidth="1"/>
    <col min="14082" max="14083" width="15" style="80" customWidth="1"/>
    <col min="14084" max="14084" width="15.28515625" style="80" customWidth="1"/>
    <col min="14085" max="14085" width="15" style="80" customWidth="1"/>
    <col min="14086" max="14089" width="15.85546875" style="80" customWidth="1"/>
    <col min="14090" max="14090" width="15.28515625" style="80" bestFit="1" customWidth="1"/>
    <col min="14091" max="14091" width="14.85546875" style="80" customWidth="1"/>
    <col min="14092" max="14336" width="9.140625" style="80"/>
    <col min="14337" max="14337" width="13" style="80" customWidth="1"/>
    <col min="14338" max="14339" width="15" style="80" customWidth="1"/>
    <col min="14340" max="14340" width="15.28515625" style="80" customWidth="1"/>
    <col min="14341" max="14341" width="15" style="80" customWidth="1"/>
    <col min="14342" max="14345" width="15.85546875" style="80" customWidth="1"/>
    <col min="14346" max="14346" width="15.28515625" style="80" bestFit="1" customWidth="1"/>
    <col min="14347" max="14347" width="14.85546875" style="80" customWidth="1"/>
    <col min="14348" max="14592" width="9.140625" style="80"/>
    <col min="14593" max="14593" width="13" style="80" customWidth="1"/>
    <col min="14594" max="14595" width="15" style="80" customWidth="1"/>
    <col min="14596" max="14596" width="15.28515625" style="80" customWidth="1"/>
    <col min="14597" max="14597" width="15" style="80" customWidth="1"/>
    <col min="14598" max="14601" width="15.85546875" style="80" customWidth="1"/>
    <col min="14602" max="14602" width="15.28515625" style="80" bestFit="1" customWidth="1"/>
    <col min="14603" max="14603" width="14.85546875" style="80" customWidth="1"/>
    <col min="14604" max="14848" width="9.140625" style="80"/>
    <col min="14849" max="14849" width="13" style="80" customWidth="1"/>
    <col min="14850" max="14851" width="15" style="80" customWidth="1"/>
    <col min="14852" max="14852" width="15.28515625" style="80" customWidth="1"/>
    <col min="14853" max="14853" width="15" style="80" customWidth="1"/>
    <col min="14854" max="14857" width="15.85546875" style="80" customWidth="1"/>
    <col min="14858" max="14858" width="15.28515625" style="80" bestFit="1" customWidth="1"/>
    <col min="14859" max="14859" width="14.85546875" style="80" customWidth="1"/>
    <col min="14860" max="15104" width="9.140625" style="80"/>
    <col min="15105" max="15105" width="13" style="80" customWidth="1"/>
    <col min="15106" max="15107" width="15" style="80" customWidth="1"/>
    <col min="15108" max="15108" width="15.28515625" style="80" customWidth="1"/>
    <col min="15109" max="15109" width="15" style="80" customWidth="1"/>
    <col min="15110" max="15113" width="15.85546875" style="80" customWidth="1"/>
    <col min="15114" max="15114" width="15.28515625" style="80" bestFit="1" customWidth="1"/>
    <col min="15115" max="15115" width="14.85546875" style="80" customWidth="1"/>
    <col min="15116" max="15360" width="9.140625" style="80"/>
    <col min="15361" max="15361" width="13" style="80" customWidth="1"/>
    <col min="15362" max="15363" width="15" style="80" customWidth="1"/>
    <col min="15364" max="15364" width="15.28515625" style="80" customWidth="1"/>
    <col min="15365" max="15365" width="15" style="80" customWidth="1"/>
    <col min="15366" max="15369" width="15.85546875" style="80" customWidth="1"/>
    <col min="15370" max="15370" width="15.28515625" style="80" bestFit="1" customWidth="1"/>
    <col min="15371" max="15371" width="14.85546875" style="80" customWidth="1"/>
    <col min="15372" max="15616" width="9.140625" style="80"/>
    <col min="15617" max="15617" width="13" style="80" customWidth="1"/>
    <col min="15618" max="15619" width="15" style="80" customWidth="1"/>
    <col min="15620" max="15620" width="15.28515625" style="80" customWidth="1"/>
    <col min="15621" max="15621" width="15" style="80" customWidth="1"/>
    <col min="15622" max="15625" width="15.85546875" style="80" customWidth="1"/>
    <col min="15626" max="15626" width="15.28515625" style="80" bestFit="1" customWidth="1"/>
    <col min="15627" max="15627" width="14.85546875" style="80" customWidth="1"/>
    <col min="15628" max="15872" width="9.140625" style="80"/>
    <col min="15873" max="15873" width="13" style="80" customWidth="1"/>
    <col min="15874" max="15875" width="15" style="80" customWidth="1"/>
    <col min="15876" max="15876" width="15.28515625" style="80" customWidth="1"/>
    <col min="15877" max="15877" width="15" style="80" customWidth="1"/>
    <col min="15878" max="15881" width="15.85546875" style="80" customWidth="1"/>
    <col min="15882" max="15882" width="15.28515625" style="80" bestFit="1" customWidth="1"/>
    <col min="15883" max="15883" width="14.85546875" style="80" customWidth="1"/>
    <col min="15884" max="16128" width="9.140625" style="80"/>
    <col min="16129" max="16129" width="13" style="80" customWidth="1"/>
    <col min="16130" max="16131" width="15" style="80" customWidth="1"/>
    <col min="16132" max="16132" width="15.28515625" style="80" customWidth="1"/>
    <col min="16133" max="16133" width="15" style="80" customWidth="1"/>
    <col min="16134" max="16137" width="15.85546875" style="80" customWidth="1"/>
    <col min="16138" max="16138" width="15.28515625" style="80" bestFit="1" customWidth="1"/>
    <col min="16139" max="16139" width="14.85546875" style="80" customWidth="1"/>
    <col min="16140" max="16384" width="9.140625" style="80"/>
  </cols>
  <sheetData>
    <row r="1" spans="1:14" x14ac:dyDescent="0.2">
      <c r="A1" s="80" t="s">
        <v>170</v>
      </c>
    </row>
    <row r="2" spans="1:14" x14ac:dyDescent="0.2">
      <c r="A2" s="80" t="s">
        <v>171</v>
      </c>
    </row>
    <row r="3" spans="1:14" x14ac:dyDescent="0.2">
      <c r="A3" s="80" t="s">
        <v>172</v>
      </c>
    </row>
    <row r="4" spans="1:14" x14ac:dyDescent="0.2">
      <c r="A4" s="80" t="s">
        <v>173</v>
      </c>
    </row>
    <row r="5" spans="1:14" ht="13.5" thickBot="1" x14ac:dyDescent="0.25">
      <c r="A5" s="81" t="s">
        <v>174</v>
      </c>
      <c r="B5" s="81"/>
      <c r="C5" s="81"/>
      <c r="D5" s="81"/>
      <c r="E5" s="81"/>
    </row>
    <row r="6" spans="1:14" ht="51.75" thickBot="1" x14ac:dyDescent="0.25">
      <c r="A6" s="80" t="s">
        <v>175</v>
      </c>
      <c r="B6" s="82" t="s">
        <v>176</v>
      </c>
      <c r="C6" s="82" t="s">
        <v>177</v>
      </c>
      <c r="D6" s="82" t="s">
        <v>178</v>
      </c>
      <c r="E6" s="82" t="s">
        <v>179</v>
      </c>
      <c r="F6" s="83" t="s">
        <v>180</v>
      </c>
      <c r="G6" s="83" t="s">
        <v>181</v>
      </c>
      <c r="H6" s="83" t="s">
        <v>182</v>
      </c>
      <c r="I6" s="83" t="s">
        <v>183</v>
      </c>
      <c r="J6" s="82" t="s">
        <v>184</v>
      </c>
      <c r="K6" s="84" t="s">
        <v>185</v>
      </c>
      <c r="L6" s="80" t="s">
        <v>40</v>
      </c>
    </row>
    <row r="7" spans="1:14" s="87" customFormat="1" x14ac:dyDescent="0.2">
      <c r="A7" s="85">
        <v>40238</v>
      </c>
      <c r="B7" s="86">
        <v>0</v>
      </c>
      <c r="C7" s="86">
        <v>0</v>
      </c>
      <c r="D7" s="87">
        <v>0</v>
      </c>
      <c r="E7" s="86">
        <f>C11/5</f>
        <v>27916</v>
      </c>
      <c r="F7" s="86">
        <f>D7+E7</f>
        <v>27916</v>
      </c>
      <c r="G7" s="86">
        <v>1562.5</v>
      </c>
      <c r="H7" s="86"/>
      <c r="I7" s="86"/>
      <c r="J7" s="87" t="s">
        <v>40</v>
      </c>
      <c r="K7" s="87" t="s">
        <v>186</v>
      </c>
    </row>
    <row r="8" spans="1:14" s="87" customFormat="1" ht="15" x14ac:dyDescent="0.25">
      <c r="A8" s="85">
        <v>40269</v>
      </c>
      <c r="B8" s="86">
        <v>0</v>
      </c>
      <c r="C8" s="86">
        <v>0</v>
      </c>
      <c r="D8" s="87">
        <v>0</v>
      </c>
      <c r="E8" s="86">
        <f>C11/5</f>
        <v>27916</v>
      </c>
      <c r="F8" s="86">
        <f t="shared" ref="F8:F71" si="0">D8+E8</f>
        <v>27916</v>
      </c>
      <c r="G8" s="86">
        <v>1562.5</v>
      </c>
      <c r="H8" s="86">
        <f>+(K9*0.001)/12+612.92</f>
        <v>1225.8366666666666</v>
      </c>
      <c r="I8" s="86"/>
      <c r="K8" s="88">
        <v>7355000</v>
      </c>
      <c r="L8" s="87" t="s">
        <v>187</v>
      </c>
    </row>
    <row r="9" spans="1:14" ht="15" x14ac:dyDescent="0.25">
      <c r="A9" s="89">
        <v>40299</v>
      </c>
      <c r="B9" s="90">
        <v>0</v>
      </c>
      <c r="C9" s="90">
        <v>0</v>
      </c>
      <c r="D9" s="80">
        <v>0</v>
      </c>
      <c r="E9" s="90">
        <f>C11/5</f>
        <v>27916</v>
      </c>
      <c r="F9" s="91">
        <f t="shared" si="0"/>
        <v>27916</v>
      </c>
      <c r="G9" s="91">
        <v>1562.5</v>
      </c>
      <c r="H9" s="91">
        <f t="shared" ref="H9:H72" si="1">+(K10*0.001)/12</f>
        <v>612.91666666666663</v>
      </c>
      <c r="I9" s="91">
        <f t="shared" ref="I9:I72" si="2">+F9+G9+H9</f>
        <v>30091.416666666668</v>
      </c>
      <c r="K9" s="92">
        <f>+K8-B8</f>
        <v>7355000</v>
      </c>
    </row>
    <row r="10" spans="1:14" ht="15" x14ac:dyDescent="0.25">
      <c r="A10" s="89">
        <v>40330</v>
      </c>
      <c r="B10" s="90">
        <v>0</v>
      </c>
      <c r="C10" s="90">
        <v>0</v>
      </c>
      <c r="D10" s="80">
        <v>0</v>
      </c>
      <c r="E10" s="90">
        <f>C11/5</f>
        <v>27916</v>
      </c>
      <c r="F10" s="91">
        <f t="shared" si="0"/>
        <v>27916</v>
      </c>
      <c r="G10" s="91">
        <v>1562.5</v>
      </c>
      <c r="H10" s="91">
        <f t="shared" si="1"/>
        <v>612.91666666666663</v>
      </c>
      <c r="I10" s="91">
        <f t="shared" si="2"/>
        <v>30091.416666666668</v>
      </c>
      <c r="K10" s="92">
        <f t="shared" ref="K10:K73" si="3">+K9-B9</f>
        <v>7355000</v>
      </c>
    </row>
    <row r="11" spans="1:14" ht="15" x14ac:dyDescent="0.25">
      <c r="A11" s="89">
        <v>40360</v>
      </c>
      <c r="B11" s="90">
        <v>0</v>
      </c>
      <c r="C11" s="90">
        <v>139580</v>
      </c>
      <c r="D11" s="80">
        <v>0</v>
      </c>
      <c r="E11" s="90">
        <f>C11/5</f>
        <v>27916</v>
      </c>
      <c r="F11" s="91">
        <f t="shared" si="0"/>
        <v>27916</v>
      </c>
      <c r="G11" s="91">
        <v>1562.5</v>
      </c>
      <c r="H11" s="91">
        <f t="shared" si="1"/>
        <v>612.91666666666663</v>
      </c>
      <c r="I11" s="91">
        <f t="shared" si="2"/>
        <v>30091.416666666668</v>
      </c>
      <c r="J11" s="90">
        <f>SUM(F7:F11)</f>
        <v>139580</v>
      </c>
      <c r="K11" s="92">
        <f t="shared" si="3"/>
        <v>7355000</v>
      </c>
    </row>
    <row r="12" spans="1:14" ht="15" x14ac:dyDescent="0.25">
      <c r="A12" s="89">
        <v>40391</v>
      </c>
      <c r="B12" s="90">
        <v>0</v>
      </c>
      <c r="C12" s="90">
        <v>0</v>
      </c>
      <c r="D12" s="90">
        <f>B23/12</f>
        <v>8750</v>
      </c>
      <c r="E12" s="90">
        <f>C17/6</f>
        <v>33233.333333333336</v>
      </c>
      <c r="F12" s="91">
        <f t="shared" si="0"/>
        <v>41983.333333333336</v>
      </c>
      <c r="G12" s="91">
        <v>1562.5</v>
      </c>
      <c r="H12" s="91">
        <f t="shared" si="1"/>
        <v>612.91666666666663</v>
      </c>
      <c r="I12" s="91">
        <f t="shared" si="2"/>
        <v>44158.75</v>
      </c>
      <c r="K12" s="92">
        <f t="shared" si="3"/>
        <v>7355000</v>
      </c>
    </row>
    <row r="13" spans="1:14" ht="15" x14ac:dyDescent="0.25">
      <c r="A13" s="89">
        <v>40422</v>
      </c>
      <c r="B13" s="90">
        <v>0</v>
      </c>
      <c r="C13" s="90">
        <v>0</v>
      </c>
      <c r="D13" s="90">
        <f>B23/12</f>
        <v>8750</v>
      </c>
      <c r="E13" s="90">
        <f>C17/6</f>
        <v>33233.333333333336</v>
      </c>
      <c r="F13" s="91">
        <f t="shared" si="0"/>
        <v>41983.333333333336</v>
      </c>
      <c r="G13" s="91">
        <v>1562.5</v>
      </c>
      <c r="H13" s="91">
        <f t="shared" si="1"/>
        <v>612.91666666666663</v>
      </c>
      <c r="I13" s="91">
        <f t="shared" si="2"/>
        <v>44158.75</v>
      </c>
      <c r="K13" s="92">
        <f t="shared" si="3"/>
        <v>7355000</v>
      </c>
    </row>
    <row r="14" spans="1:14" ht="15" x14ac:dyDescent="0.25">
      <c r="A14" s="89">
        <v>40452</v>
      </c>
      <c r="B14" s="90">
        <v>0</v>
      </c>
      <c r="C14" s="90">
        <v>0</v>
      </c>
      <c r="D14" s="90">
        <f>B23/12</f>
        <v>8750</v>
      </c>
      <c r="E14" s="90">
        <f>C17/6</f>
        <v>33233.333333333336</v>
      </c>
      <c r="F14" s="91">
        <f t="shared" si="0"/>
        <v>41983.333333333336</v>
      </c>
      <c r="G14" s="91">
        <v>1562.5</v>
      </c>
      <c r="H14" s="91">
        <f t="shared" si="1"/>
        <v>612.91666666666663</v>
      </c>
      <c r="I14" s="91">
        <f t="shared" si="2"/>
        <v>44158.75</v>
      </c>
      <c r="K14" s="92">
        <f t="shared" si="3"/>
        <v>7355000</v>
      </c>
    </row>
    <row r="15" spans="1:14" ht="15" x14ac:dyDescent="0.25">
      <c r="A15" s="89">
        <v>40483</v>
      </c>
      <c r="B15" s="90">
        <v>0</v>
      </c>
      <c r="C15" s="90">
        <v>0</v>
      </c>
      <c r="D15" s="90">
        <f>B23/12</f>
        <v>8750</v>
      </c>
      <c r="E15" s="90">
        <f>C17/6</f>
        <v>33233.333333333336</v>
      </c>
      <c r="F15" s="91">
        <f t="shared" si="0"/>
        <v>41983.333333333336</v>
      </c>
      <c r="G15" s="91">
        <v>1562.5</v>
      </c>
      <c r="H15" s="91">
        <f t="shared" si="1"/>
        <v>612.91666666666663</v>
      </c>
      <c r="I15" s="91">
        <f t="shared" si="2"/>
        <v>44158.75</v>
      </c>
      <c r="K15" s="92">
        <f t="shared" si="3"/>
        <v>7355000</v>
      </c>
    </row>
    <row r="16" spans="1:14" ht="15" x14ac:dyDescent="0.25">
      <c r="A16" s="89">
        <v>40513</v>
      </c>
      <c r="B16" s="90">
        <v>0</v>
      </c>
      <c r="C16" s="90">
        <v>0</v>
      </c>
      <c r="D16" s="90">
        <f>B23/12</f>
        <v>8750</v>
      </c>
      <c r="E16" s="90">
        <f>C17/6</f>
        <v>33233.333333333336</v>
      </c>
      <c r="F16" s="91">
        <f t="shared" si="0"/>
        <v>41983.333333333336</v>
      </c>
      <c r="G16" s="91">
        <v>1562.5</v>
      </c>
      <c r="H16" s="91">
        <f t="shared" si="1"/>
        <v>612.91666666666663</v>
      </c>
      <c r="I16" s="91">
        <f t="shared" si="2"/>
        <v>44158.75</v>
      </c>
      <c r="K16" s="92">
        <f t="shared" si="3"/>
        <v>7355000</v>
      </c>
      <c r="N16" s="80" t="s">
        <v>40</v>
      </c>
    </row>
    <row r="17" spans="1:12" ht="15" x14ac:dyDescent="0.25">
      <c r="A17" s="89">
        <v>40544</v>
      </c>
      <c r="B17" s="90">
        <v>0</v>
      </c>
      <c r="C17" s="90">
        <v>199400</v>
      </c>
      <c r="D17" s="90">
        <f>B23/12</f>
        <v>8750</v>
      </c>
      <c r="E17" s="90">
        <f>C17/6</f>
        <v>33233.333333333336</v>
      </c>
      <c r="F17" s="91">
        <f t="shared" si="0"/>
        <v>41983.333333333336</v>
      </c>
      <c r="G17" s="91">
        <v>1562.5</v>
      </c>
      <c r="H17" s="91">
        <f t="shared" si="1"/>
        <v>612.91666666666663</v>
      </c>
      <c r="I17" s="91">
        <f t="shared" si="2"/>
        <v>44158.75</v>
      </c>
      <c r="K17" s="92">
        <f t="shared" si="3"/>
        <v>7355000</v>
      </c>
    </row>
    <row r="18" spans="1:12" ht="15" x14ac:dyDescent="0.25">
      <c r="A18" s="89">
        <v>40575</v>
      </c>
      <c r="B18" s="90">
        <v>0</v>
      </c>
      <c r="C18" s="90">
        <v>0</v>
      </c>
      <c r="D18" s="90">
        <f>B23/12</f>
        <v>8750</v>
      </c>
      <c r="E18" s="90">
        <f>C23/6</f>
        <v>33233.333333333336</v>
      </c>
      <c r="F18" s="91">
        <f t="shared" si="0"/>
        <v>41983.333333333336</v>
      </c>
      <c r="G18" s="91">
        <v>1562.5</v>
      </c>
      <c r="H18" s="91">
        <f t="shared" si="1"/>
        <v>612.91666666666663</v>
      </c>
      <c r="I18" s="91">
        <f t="shared" si="2"/>
        <v>44158.75</v>
      </c>
      <c r="K18" s="92">
        <f t="shared" si="3"/>
        <v>7355000</v>
      </c>
    </row>
    <row r="19" spans="1:12" ht="15" x14ac:dyDescent="0.25">
      <c r="A19" s="89">
        <v>40603</v>
      </c>
      <c r="B19" s="90">
        <v>0</v>
      </c>
      <c r="C19" s="90">
        <v>0</v>
      </c>
      <c r="D19" s="90">
        <f>B23/12</f>
        <v>8750</v>
      </c>
      <c r="E19" s="90">
        <f>C23/6</f>
        <v>33233.333333333336</v>
      </c>
      <c r="F19" s="91">
        <f t="shared" si="0"/>
        <v>41983.333333333336</v>
      </c>
      <c r="G19" s="91">
        <v>1562.5</v>
      </c>
      <c r="H19" s="91">
        <f t="shared" si="1"/>
        <v>612.91666666666663</v>
      </c>
      <c r="I19" s="91">
        <f t="shared" si="2"/>
        <v>44158.75</v>
      </c>
      <c r="K19" s="92">
        <f t="shared" si="3"/>
        <v>7355000</v>
      </c>
    </row>
    <row r="20" spans="1:12" ht="15" x14ac:dyDescent="0.25">
      <c r="A20" s="89">
        <v>40634</v>
      </c>
      <c r="B20" s="90">
        <v>0</v>
      </c>
      <c r="C20" s="90">
        <v>0</v>
      </c>
      <c r="D20" s="90">
        <f>B23/12</f>
        <v>8750</v>
      </c>
      <c r="E20" s="90">
        <f>C23/6</f>
        <v>33233.333333333336</v>
      </c>
      <c r="F20" s="91">
        <f t="shared" si="0"/>
        <v>41983.333333333336</v>
      </c>
      <c r="G20" s="91">
        <v>1562.5</v>
      </c>
      <c r="H20" s="91">
        <f t="shared" si="1"/>
        <v>612.91666666666663</v>
      </c>
      <c r="I20" s="91">
        <f t="shared" si="2"/>
        <v>44158.75</v>
      </c>
      <c r="K20" s="92">
        <f t="shared" si="3"/>
        <v>7355000</v>
      </c>
    </row>
    <row r="21" spans="1:12" ht="15" x14ac:dyDescent="0.25">
      <c r="A21" s="89">
        <v>40664</v>
      </c>
      <c r="B21" s="90">
        <v>0</v>
      </c>
      <c r="C21" s="90">
        <v>0</v>
      </c>
      <c r="D21" s="90">
        <f>B23/12</f>
        <v>8750</v>
      </c>
      <c r="E21" s="90">
        <f>C23/6</f>
        <v>33233.333333333336</v>
      </c>
      <c r="F21" s="91">
        <f t="shared" si="0"/>
        <v>41983.333333333336</v>
      </c>
      <c r="G21" s="91">
        <v>1562.5</v>
      </c>
      <c r="H21" s="91">
        <f t="shared" si="1"/>
        <v>612.91666666666663</v>
      </c>
      <c r="I21" s="91">
        <f t="shared" si="2"/>
        <v>44158.75</v>
      </c>
      <c r="K21" s="92">
        <f t="shared" si="3"/>
        <v>7355000</v>
      </c>
    </row>
    <row r="22" spans="1:12" ht="15" x14ac:dyDescent="0.25">
      <c r="A22" s="89">
        <v>40695</v>
      </c>
      <c r="B22" s="90">
        <v>0</v>
      </c>
      <c r="C22" s="90">
        <v>0</v>
      </c>
      <c r="D22" s="90">
        <f>B23/12</f>
        <v>8750</v>
      </c>
      <c r="E22" s="90">
        <f>C23/6</f>
        <v>33233.333333333336</v>
      </c>
      <c r="F22" s="91">
        <f t="shared" si="0"/>
        <v>41983.333333333336</v>
      </c>
      <c r="G22" s="91">
        <v>1562.5</v>
      </c>
      <c r="H22" s="91">
        <f t="shared" si="1"/>
        <v>612.91666666666663</v>
      </c>
      <c r="I22" s="91">
        <f t="shared" si="2"/>
        <v>44158.75</v>
      </c>
      <c r="K22" s="92">
        <f t="shared" si="3"/>
        <v>7355000</v>
      </c>
    </row>
    <row r="23" spans="1:12" ht="15" x14ac:dyDescent="0.25">
      <c r="A23" s="89">
        <v>40725</v>
      </c>
      <c r="B23" s="90">
        <v>105000</v>
      </c>
      <c r="C23" s="90">
        <v>199400</v>
      </c>
      <c r="D23" s="90">
        <f>B23/12</f>
        <v>8750</v>
      </c>
      <c r="E23" s="90">
        <f>C23/6</f>
        <v>33233.333333333336</v>
      </c>
      <c r="F23" s="91">
        <f t="shared" si="0"/>
        <v>41983.333333333336</v>
      </c>
      <c r="G23" s="91">
        <v>1562.5</v>
      </c>
      <c r="H23" s="91">
        <f t="shared" si="1"/>
        <v>604.16666666666663</v>
      </c>
      <c r="I23" s="91">
        <f t="shared" si="2"/>
        <v>44150</v>
      </c>
      <c r="J23" s="90">
        <f>SUM(F12:F23)</f>
        <v>503799.99999999994</v>
      </c>
      <c r="K23" s="92">
        <f t="shared" si="3"/>
        <v>7355000</v>
      </c>
    </row>
    <row r="24" spans="1:12" ht="15" x14ac:dyDescent="0.25">
      <c r="A24" s="89">
        <v>40756</v>
      </c>
      <c r="B24" s="90">
        <v>0</v>
      </c>
      <c r="C24" s="90">
        <v>0</v>
      </c>
      <c r="D24" s="90">
        <f>B35/12</f>
        <v>9166.6666666666661</v>
      </c>
      <c r="E24" s="90">
        <f>C29/6</f>
        <v>32773.958333333336</v>
      </c>
      <c r="F24" s="91">
        <f t="shared" si="0"/>
        <v>41940.625</v>
      </c>
      <c r="G24" s="91">
        <v>1562.5</v>
      </c>
      <c r="H24" s="91">
        <f t="shared" si="1"/>
        <v>604.16666666666663</v>
      </c>
      <c r="I24" s="91">
        <f t="shared" si="2"/>
        <v>44107.291666666664</v>
      </c>
      <c r="K24" s="92">
        <f t="shared" si="3"/>
        <v>7250000</v>
      </c>
    </row>
    <row r="25" spans="1:12" ht="15" x14ac:dyDescent="0.25">
      <c r="A25" s="89">
        <v>40787</v>
      </c>
      <c r="B25" s="90">
        <v>0</v>
      </c>
      <c r="C25" s="90">
        <v>0</v>
      </c>
      <c r="D25" s="90">
        <f>B35/12</f>
        <v>9166.6666666666661</v>
      </c>
      <c r="E25" s="90">
        <f>C29/6</f>
        <v>32773.958333333336</v>
      </c>
      <c r="F25" s="91">
        <f t="shared" si="0"/>
        <v>41940.625</v>
      </c>
      <c r="G25" s="91">
        <v>1562.5</v>
      </c>
      <c r="H25" s="91">
        <f t="shared" si="1"/>
        <v>604.16666666666663</v>
      </c>
      <c r="I25" s="91">
        <f t="shared" si="2"/>
        <v>44107.291666666664</v>
      </c>
      <c r="K25" s="92">
        <f t="shared" si="3"/>
        <v>7250000</v>
      </c>
      <c r="L25" s="80" t="s">
        <v>40</v>
      </c>
    </row>
    <row r="26" spans="1:12" ht="15" x14ac:dyDescent="0.25">
      <c r="A26" s="89">
        <v>40817</v>
      </c>
      <c r="B26" s="90">
        <v>0</v>
      </c>
      <c r="C26" s="90">
        <v>0</v>
      </c>
      <c r="D26" s="90">
        <f>B35/12</f>
        <v>9166.6666666666661</v>
      </c>
      <c r="E26" s="90">
        <f>C29/6</f>
        <v>32773.958333333336</v>
      </c>
      <c r="F26" s="91">
        <f t="shared" si="0"/>
        <v>41940.625</v>
      </c>
      <c r="G26" s="91">
        <v>1562.5</v>
      </c>
      <c r="H26" s="91">
        <f t="shared" si="1"/>
        <v>604.16666666666663</v>
      </c>
      <c r="I26" s="91">
        <f t="shared" si="2"/>
        <v>44107.291666666664</v>
      </c>
      <c r="K26" s="92">
        <f t="shared" si="3"/>
        <v>7250000</v>
      </c>
    </row>
    <row r="27" spans="1:12" ht="15" x14ac:dyDescent="0.25">
      <c r="A27" s="89">
        <v>40848</v>
      </c>
      <c r="B27" s="90">
        <v>0</v>
      </c>
      <c r="C27" s="90">
        <v>0</v>
      </c>
      <c r="D27" s="90">
        <f>B35/12</f>
        <v>9166.6666666666661</v>
      </c>
      <c r="E27" s="90">
        <f>C29/6</f>
        <v>32773.958333333336</v>
      </c>
      <c r="F27" s="91">
        <f t="shared" si="0"/>
        <v>41940.625</v>
      </c>
      <c r="G27" s="91">
        <v>1562.5</v>
      </c>
      <c r="H27" s="91">
        <f t="shared" si="1"/>
        <v>604.16666666666663</v>
      </c>
      <c r="I27" s="91">
        <f t="shared" si="2"/>
        <v>44107.291666666664</v>
      </c>
      <c r="K27" s="92">
        <f t="shared" si="3"/>
        <v>7250000</v>
      </c>
    </row>
    <row r="28" spans="1:12" ht="15" x14ac:dyDescent="0.25">
      <c r="A28" s="89">
        <v>40878</v>
      </c>
      <c r="B28" s="90">
        <v>0</v>
      </c>
      <c r="C28" s="90">
        <v>0</v>
      </c>
      <c r="D28" s="90">
        <f>B35/12</f>
        <v>9166.6666666666661</v>
      </c>
      <c r="E28" s="90">
        <f>C29/6</f>
        <v>32773.958333333336</v>
      </c>
      <c r="F28" s="91">
        <f t="shared" si="0"/>
        <v>41940.625</v>
      </c>
      <c r="G28" s="91">
        <v>1562.5</v>
      </c>
      <c r="H28" s="91">
        <f t="shared" si="1"/>
        <v>604.16666666666663</v>
      </c>
      <c r="I28" s="91">
        <f t="shared" si="2"/>
        <v>44107.291666666664</v>
      </c>
      <c r="K28" s="92">
        <f t="shared" si="3"/>
        <v>7250000</v>
      </c>
    </row>
    <row r="29" spans="1:12" ht="15" x14ac:dyDescent="0.25">
      <c r="A29" s="89">
        <v>40909</v>
      </c>
      <c r="B29" s="90">
        <v>0</v>
      </c>
      <c r="C29" s="90">
        <v>196643.75</v>
      </c>
      <c r="D29" s="90">
        <f>B35/12</f>
        <v>9166.6666666666661</v>
      </c>
      <c r="E29" s="90">
        <f>C29/6</f>
        <v>32773.958333333336</v>
      </c>
      <c r="F29" s="91">
        <f t="shared" si="0"/>
        <v>41940.625</v>
      </c>
      <c r="G29" s="91">
        <v>1562.5</v>
      </c>
      <c r="H29" s="91">
        <f t="shared" si="1"/>
        <v>604.16666666666663</v>
      </c>
      <c r="I29" s="91">
        <f t="shared" si="2"/>
        <v>44107.291666666664</v>
      </c>
      <c r="K29" s="92">
        <f t="shared" si="3"/>
        <v>7250000</v>
      </c>
    </row>
    <row r="30" spans="1:12" ht="15" x14ac:dyDescent="0.25">
      <c r="A30" s="89">
        <v>40940</v>
      </c>
      <c r="B30" s="90">
        <v>0</v>
      </c>
      <c r="C30" s="90">
        <v>0</v>
      </c>
      <c r="D30" s="90">
        <f>B35/12</f>
        <v>9166.6666666666661</v>
      </c>
      <c r="E30" s="90">
        <f>C35/6</f>
        <v>32773.958333333336</v>
      </c>
      <c r="F30" s="91">
        <f t="shared" si="0"/>
        <v>41940.625</v>
      </c>
      <c r="G30" s="91">
        <v>1562.5</v>
      </c>
      <c r="H30" s="91">
        <f t="shared" si="1"/>
        <v>604.16666666666663</v>
      </c>
      <c r="I30" s="91">
        <f t="shared" si="2"/>
        <v>44107.291666666664</v>
      </c>
      <c r="J30" s="93"/>
      <c r="K30" s="92">
        <f t="shared" si="3"/>
        <v>7250000</v>
      </c>
    </row>
    <row r="31" spans="1:12" ht="15" x14ac:dyDescent="0.25">
      <c r="A31" s="89">
        <v>40969</v>
      </c>
      <c r="B31" s="90">
        <v>0</v>
      </c>
      <c r="C31" s="90">
        <v>0</v>
      </c>
      <c r="D31" s="90">
        <f>B35/12</f>
        <v>9166.6666666666661</v>
      </c>
      <c r="E31" s="90">
        <f>C35/6</f>
        <v>32773.958333333336</v>
      </c>
      <c r="F31" s="91">
        <f t="shared" si="0"/>
        <v>41940.625</v>
      </c>
      <c r="G31" s="91">
        <v>1562.5</v>
      </c>
      <c r="H31" s="91">
        <f t="shared" si="1"/>
        <v>604.16666666666663</v>
      </c>
      <c r="I31" s="91">
        <f t="shared" si="2"/>
        <v>44107.291666666664</v>
      </c>
      <c r="K31" s="92">
        <f t="shared" si="3"/>
        <v>7250000</v>
      </c>
    </row>
    <row r="32" spans="1:12" ht="15" x14ac:dyDescent="0.25">
      <c r="A32" s="89">
        <v>41000</v>
      </c>
      <c r="B32" s="90">
        <v>0</v>
      </c>
      <c r="C32" s="90">
        <v>0</v>
      </c>
      <c r="D32" s="90">
        <f>B35/12</f>
        <v>9166.6666666666661</v>
      </c>
      <c r="E32" s="90">
        <f>C35/6</f>
        <v>32773.958333333336</v>
      </c>
      <c r="F32" s="91">
        <f t="shared" si="0"/>
        <v>41940.625</v>
      </c>
      <c r="G32" s="91">
        <v>1562.5</v>
      </c>
      <c r="H32" s="91">
        <f t="shared" si="1"/>
        <v>604.16666666666663</v>
      </c>
      <c r="I32" s="91">
        <f t="shared" si="2"/>
        <v>44107.291666666664</v>
      </c>
      <c r="K32" s="92">
        <f t="shared" si="3"/>
        <v>7250000</v>
      </c>
    </row>
    <row r="33" spans="1:11" ht="15" x14ac:dyDescent="0.25">
      <c r="A33" s="89">
        <v>41030</v>
      </c>
      <c r="B33" s="90">
        <v>0</v>
      </c>
      <c r="C33" s="90">
        <v>0</v>
      </c>
      <c r="D33" s="90">
        <f>B35/12</f>
        <v>9166.6666666666661</v>
      </c>
      <c r="E33" s="90">
        <f>C35/6</f>
        <v>32773.958333333336</v>
      </c>
      <c r="F33" s="91">
        <f t="shared" si="0"/>
        <v>41940.625</v>
      </c>
      <c r="G33" s="91">
        <v>1562.5</v>
      </c>
      <c r="H33" s="91">
        <f t="shared" si="1"/>
        <v>604.16666666666663</v>
      </c>
      <c r="I33" s="91">
        <f t="shared" si="2"/>
        <v>44107.291666666664</v>
      </c>
      <c r="K33" s="92">
        <f t="shared" si="3"/>
        <v>7250000</v>
      </c>
    </row>
    <row r="34" spans="1:11" ht="15" x14ac:dyDescent="0.25">
      <c r="A34" s="89">
        <v>41061</v>
      </c>
      <c r="B34" s="90">
        <v>0</v>
      </c>
      <c r="C34" s="90">
        <v>0</v>
      </c>
      <c r="D34" s="90">
        <f>B35/12</f>
        <v>9166.6666666666661</v>
      </c>
      <c r="E34" s="90">
        <f>C35/6</f>
        <v>32773.958333333336</v>
      </c>
      <c r="F34" s="91">
        <f t="shared" si="0"/>
        <v>41940.625</v>
      </c>
      <c r="G34" s="91">
        <v>1562.5</v>
      </c>
      <c r="H34" s="91">
        <f t="shared" si="1"/>
        <v>604.16666666666663</v>
      </c>
      <c r="I34" s="91">
        <f t="shared" si="2"/>
        <v>44107.291666666664</v>
      </c>
      <c r="K34" s="92">
        <f t="shared" si="3"/>
        <v>7250000</v>
      </c>
    </row>
    <row r="35" spans="1:11" ht="15" x14ac:dyDescent="0.25">
      <c r="A35" s="89">
        <v>41091</v>
      </c>
      <c r="B35" s="90">
        <v>110000</v>
      </c>
      <c r="C35" s="90">
        <v>196643.75</v>
      </c>
      <c r="D35" s="90">
        <f>B35/12</f>
        <v>9166.6666666666661</v>
      </c>
      <c r="E35" s="90">
        <f>C35/6</f>
        <v>32773.958333333336</v>
      </c>
      <c r="F35" s="91">
        <f t="shared" si="0"/>
        <v>41940.625</v>
      </c>
      <c r="G35" s="91">
        <v>1562.5</v>
      </c>
      <c r="H35" s="91">
        <f t="shared" si="1"/>
        <v>595</v>
      </c>
      <c r="I35" s="91">
        <f t="shared" si="2"/>
        <v>44098.125</v>
      </c>
      <c r="J35" s="90">
        <f>SUM(F24:F35)</f>
        <v>503287.5</v>
      </c>
      <c r="K35" s="92">
        <f t="shared" si="3"/>
        <v>7250000</v>
      </c>
    </row>
    <row r="36" spans="1:11" ht="15" x14ac:dyDescent="0.25">
      <c r="A36" s="89">
        <v>41122</v>
      </c>
      <c r="B36" s="90">
        <v>0</v>
      </c>
      <c r="C36" s="90">
        <v>0</v>
      </c>
      <c r="D36" s="90">
        <f>B47/12</f>
        <v>9583.3333333333339</v>
      </c>
      <c r="E36" s="90">
        <f>C41/6</f>
        <v>32292.708333333332</v>
      </c>
      <c r="F36" s="91">
        <f t="shared" si="0"/>
        <v>41876.041666666664</v>
      </c>
      <c r="G36" s="91">
        <v>1562.5</v>
      </c>
      <c r="H36" s="91">
        <f t="shared" si="1"/>
        <v>595</v>
      </c>
      <c r="I36" s="91">
        <f t="shared" si="2"/>
        <v>44033.541666666664</v>
      </c>
      <c r="K36" s="92">
        <f t="shared" si="3"/>
        <v>7140000</v>
      </c>
    </row>
    <row r="37" spans="1:11" ht="15" x14ac:dyDescent="0.25">
      <c r="A37" s="89">
        <v>41153</v>
      </c>
      <c r="B37" s="90">
        <v>0</v>
      </c>
      <c r="C37" s="90">
        <v>0</v>
      </c>
      <c r="D37" s="90">
        <f>B47/12</f>
        <v>9583.3333333333339</v>
      </c>
      <c r="E37" s="90">
        <f>C41/6</f>
        <v>32292.708333333332</v>
      </c>
      <c r="F37" s="91">
        <f t="shared" si="0"/>
        <v>41876.041666666664</v>
      </c>
      <c r="G37" s="91">
        <v>1562.5</v>
      </c>
      <c r="H37" s="91">
        <f t="shared" si="1"/>
        <v>595</v>
      </c>
      <c r="I37" s="91">
        <f t="shared" si="2"/>
        <v>44033.541666666664</v>
      </c>
      <c r="K37" s="92">
        <f t="shared" si="3"/>
        <v>7140000</v>
      </c>
    </row>
    <row r="38" spans="1:11" ht="15" x14ac:dyDescent="0.25">
      <c r="A38" s="89">
        <v>41183</v>
      </c>
      <c r="B38" s="90">
        <v>0</v>
      </c>
      <c r="C38" s="90">
        <v>0</v>
      </c>
      <c r="D38" s="90">
        <f>B47/12</f>
        <v>9583.3333333333339</v>
      </c>
      <c r="E38" s="90">
        <f>C41/6</f>
        <v>32292.708333333332</v>
      </c>
      <c r="F38" s="91">
        <f t="shared" si="0"/>
        <v>41876.041666666664</v>
      </c>
      <c r="G38" s="91">
        <v>1562.5</v>
      </c>
      <c r="H38" s="91">
        <f t="shared" si="1"/>
        <v>595</v>
      </c>
      <c r="I38" s="91">
        <f t="shared" si="2"/>
        <v>44033.541666666664</v>
      </c>
      <c r="K38" s="92">
        <f t="shared" si="3"/>
        <v>7140000</v>
      </c>
    </row>
    <row r="39" spans="1:11" ht="15" x14ac:dyDescent="0.25">
      <c r="A39" s="89">
        <v>41214</v>
      </c>
      <c r="B39" s="90">
        <v>0</v>
      </c>
      <c r="C39" s="90">
        <v>0</v>
      </c>
      <c r="D39" s="90">
        <f>B47/12</f>
        <v>9583.3333333333339</v>
      </c>
      <c r="E39" s="90">
        <f>C41/6</f>
        <v>32292.708333333332</v>
      </c>
      <c r="F39" s="91">
        <f t="shared" si="0"/>
        <v>41876.041666666664</v>
      </c>
      <c r="G39" s="91">
        <v>1562.5</v>
      </c>
      <c r="H39" s="91">
        <f t="shared" si="1"/>
        <v>595</v>
      </c>
      <c r="I39" s="91">
        <f t="shared" si="2"/>
        <v>44033.541666666664</v>
      </c>
      <c r="K39" s="92">
        <f t="shared" si="3"/>
        <v>7140000</v>
      </c>
    </row>
    <row r="40" spans="1:11" ht="15" x14ac:dyDescent="0.25">
      <c r="A40" s="89">
        <v>41244</v>
      </c>
      <c r="B40" s="90">
        <v>0</v>
      </c>
      <c r="C40" s="90">
        <v>0</v>
      </c>
      <c r="D40" s="90">
        <f>B47/12</f>
        <v>9583.3333333333339</v>
      </c>
      <c r="E40" s="90">
        <f>C41/6</f>
        <v>32292.708333333332</v>
      </c>
      <c r="F40" s="91">
        <f t="shared" si="0"/>
        <v>41876.041666666664</v>
      </c>
      <c r="G40" s="91">
        <v>1562.5</v>
      </c>
      <c r="H40" s="91">
        <f t="shared" si="1"/>
        <v>595</v>
      </c>
      <c r="I40" s="91">
        <f t="shared" si="2"/>
        <v>44033.541666666664</v>
      </c>
      <c r="K40" s="92">
        <f t="shared" si="3"/>
        <v>7140000</v>
      </c>
    </row>
    <row r="41" spans="1:11" ht="15" x14ac:dyDescent="0.25">
      <c r="A41" s="89">
        <v>41275</v>
      </c>
      <c r="B41" s="90">
        <v>0</v>
      </c>
      <c r="C41" s="90">
        <v>193756.25</v>
      </c>
      <c r="D41" s="90">
        <f>B47/12</f>
        <v>9583.3333333333339</v>
      </c>
      <c r="E41" s="90">
        <f>C41/6</f>
        <v>32292.708333333332</v>
      </c>
      <c r="F41" s="91">
        <f t="shared" si="0"/>
        <v>41876.041666666664</v>
      </c>
      <c r="G41" s="91">
        <v>1562.5</v>
      </c>
      <c r="H41" s="91">
        <f t="shared" si="1"/>
        <v>595</v>
      </c>
      <c r="I41" s="91">
        <f t="shared" si="2"/>
        <v>44033.541666666664</v>
      </c>
      <c r="K41" s="92">
        <f t="shared" si="3"/>
        <v>7140000</v>
      </c>
    </row>
    <row r="42" spans="1:11" ht="15" x14ac:dyDescent="0.25">
      <c r="A42" s="89">
        <v>41306</v>
      </c>
      <c r="B42" s="90">
        <v>0</v>
      </c>
      <c r="C42" s="90">
        <v>0</v>
      </c>
      <c r="D42" s="90">
        <f>B47/12</f>
        <v>9583.3333333333339</v>
      </c>
      <c r="E42" s="90">
        <f>C47/6</f>
        <v>32292.708333333332</v>
      </c>
      <c r="F42" s="91">
        <f t="shared" si="0"/>
        <v>41876.041666666664</v>
      </c>
      <c r="G42" s="91">
        <v>1562.5</v>
      </c>
      <c r="H42" s="91">
        <f t="shared" si="1"/>
        <v>595</v>
      </c>
      <c r="I42" s="91">
        <f t="shared" si="2"/>
        <v>44033.541666666664</v>
      </c>
      <c r="K42" s="92">
        <f t="shared" si="3"/>
        <v>7140000</v>
      </c>
    </row>
    <row r="43" spans="1:11" ht="15" x14ac:dyDescent="0.25">
      <c r="A43" s="89">
        <v>41334</v>
      </c>
      <c r="B43" s="90">
        <v>0</v>
      </c>
      <c r="C43" s="90">
        <v>0</v>
      </c>
      <c r="D43" s="90">
        <f>B47/12</f>
        <v>9583.3333333333339</v>
      </c>
      <c r="E43" s="90">
        <f>C47/6</f>
        <v>32292.708333333332</v>
      </c>
      <c r="F43" s="91">
        <f t="shared" si="0"/>
        <v>41876.041666666664</v>
      </c>
      <c r="G43" s="91">
        <v>1562.5</v>
      </c>
      <c r="H43" s="91">
        <f t="shared" si="1"/>
        <v>595</v>
      </c>
      <c r="I43" s="91">
        <f t="shared" si="2"/>
        <v>44033.541666666664</v>
      </c>
      <c r="K43" s="92">
        <f t="shared" si="3"/>
        <v>7140000</v>
      </c>
    </row>
    <row r="44" spans="1:11" ht="15" x14ac:dyDescent="0.25">
      <c r="A44" s="89">
        <v>41365</v>
      </c>
      <c r="B44" s="90">
        <v>0</v>
      </c>
      <c r="C44" s="90">
        <v>0</v>
      </c>
      <c r="D44" s="90">
        <f>B47/12</f>
        <v>9583.3333333333339</v>
      </c>
      <c r="E44" s="90">
        <f>C47/6</f>
        <v>32292.708333333332</v>
      </c>
      <c r="F44" s="91">
        <f t="shared" si="0"/>
        <v>41876.041666666664</v>
      </c>
      <c r="G44" s="91">
        <v>1562.5</v>
      </c>
      <c r="H44" s="91">
        <f t="shared" si="1"/>
        <v>595</v>
      </c>
      <c r="I44" s="91">
        <f t="shared" si="2"/>
        <v>44033.541666666664</v>
      </c>
      <c r="K44" s="92">
        <f t="shared" si="3"/>
        <v>7140000</v>
      </c>
    </row>
    <row r="45" spans="1:11" ht="15" x14ac:dyDescent="0.25">
      <c r="A45" s="89">
        <v>41395</v>
      </c>
      <c r="B45" s="90">
        <v>0</v>
      </c>
      <c r="C45" s="90">
        <v>0</v>
      </c>
      <c r="D45" s="90">
        <f>B47/12</f>
        <v>9583.3333333333339</v>
      </c>
      <c r="E45" s="90">
        <f>C47/6</f>
        <v>32292.708333333332</v>
      </c>
      <c r="F45" s="91">
        <f t="shared" si="0"/>
        <v>41876.041666666664</v>
      </c>
      <c r="G45" s="91">
        <v>1562.5</v>
      </c>
      <c r="H45" s="91">
        <f t="shared" si="1"/>
        <v>595</v>
      </c>
      <c r="I45" s="91">
        <f t="shared" si="2"/>
        <v>44033.541666666664</v>
      </c>
      <c r="K45" s="92">
        <f t="shared" si="3"/>
        <v>7140000</v>
      </c>
    </row>
    <row r="46" spans="1:11" ht="15" x14ac:dyDescent="0.25">
      <c r="A46" s="89">
        <v>41426</v>
      </c>
      <c r="B46" s="90">
        <v>0</v>
      </c>
      <c r="C46" s="90">
        <v>0</v>
      </c>
      <c r="D46" s="90">
        <f>B47/12</f>
        <v>9583.3333333333339</v>
      </c>
      <c r="E46" s="90">
        <f>C47/6</f>
        <v>32292.708333333332</v>
      </c>
      <c r="F46" s="91">
        <f t="shared" si="0"/>
        <v>41876.041666666664</v>
      </c>
      <c r="G46" s="91">
        <v>1562.5</v>
      </c>
      <c r="H46" s="91">
        <f t="shared" si="1"/>
        <v>595</v>
      </c>
      <c r="I46" s="91">
        <f t="shared" si="2"/>
        <v>44033.541666666664</v>
      </c>
      <c r="K46" s="92">
        <f t="shared" si="3"/>
        <v>7140000</v>
      </c>
    </row>
    <row r="47" spans="1:11" ht="15" x14ac:dyDescent="0.25">
      <c r="A47" s="89">
        <v>41456</v>
      </c>
      <c r="B47" s="90">
        <v>115000</v>
      </c>
      <c r="C47" s="90">
        <v>193756.25</v>
      </c>
      <c r="D47" s="90">
        <f>B47/12</f>
        <v>9583.3333333333339</v>
      </c>
      <c r="E47" s="90">
        <f>C47/6</f>
        <v>32292.708333333332</v>
      </c>
      <c r="F47" s="91">
        <f t="shared" si="0"/>
        <v>41876.041666666664</v>
      </c>
      <c r="G47" s="91">
        <v>1562.5</v>
      </c>
      <c r="H47" s="91">
        <f t="shared" si="1"/>
        <v>585.41666666666663</v>
      </c>
      <c r="I47" s="91">
        <f t="shared" si="2"/>
        <v>44023.958333333328</v>
      </c>
      <c r="J47" s="90">
        <f>SUM(F36:F47)</f>
        <v>502512.50000000006</v>
      </c>
      <c r="K47" s="92">
        <f t="shared" si="3"/>
        <v>7140000</v>
      </c>
    </row>
    <row r="48" spans="1:11" ht="15" x14ac:dyDescent="0.25">
      <c r="A48" s="89">
        <v>41487</v>
      </c>
      <c r="B48" s="90">
        <v>0</v>
      </c>
      <c r="C48" s="90">
        <v>0</v>
      </c>
      <c r="D48" s="90">
        <f>B59/12</f>
        <v>10000</v>
      </c>
      <c r="E48" s="90">
        <f>C53/6</f>
        <v>31789.583333333332</v>
      </c>
      <c r="F48" s="91">
        <f t="shared" si="0"/>
        <v>41789.583333333328</v>
      </c>
      <c r="G48" s="91">
        <v>1562.5</v>
      </c>
      <c r="H48" s="91">
        <f t="shared" si="1"/>
        <v>585.41666666666663</v>
      </c>
      <c r="I48" s="91">
        <f t="shared" si="2"/>
        <v>43937.499999999993</v>
      </c>
      <c r="K48" s="92">
        <f t="shared" si="3"/>
        <v>7025000</v>
      </c>
    </row>
    <row r="49" spans="1:11" ht="15" x14ac:dyDescent="0.25">
      <c r="A49" s="89">
        <v>41518</v>
      </c>
      <c r="B49" s="90">
        <v>0</v>
      </c>
      <c r="C49" s="90">
        <v>0</v>
      </c>
      <c r="D49" s="90">
        <f>B59/12</f>
        <v>10000</v>
      </c>
      <c r="E49" s="90">
        <f>C53/6</f>
        <v>31789.583333333332</v>
      </c>
      <c r="F49" s="91">
        <f t="shared" si="0"/>
        <v>41789.583333333328</v>
      </c>
      <c r="G49" s="91">
        <v>1562.5</v>
      </c>
      <c r="H49" s="91">
        <f t="shared" si="1"/>
        <v>585.41666666666663</v>
      </c>
      <c r="I49" s="91">
        <f t="shared" si="2"/>
        <v>43937.499999999993</v>
      </c>
      <c r="K49" s="92">
        <f t="shared" si="3"/>
        <v>7025000</v>
      </c>
    </row>
    <row r="50" spans="1:11" ht="15" x14ac:dyDescent="0.25">
      <c r="A50" s="89">
        <v>41548</v>
      </c>
      <c r="B50" s="90">
        <v>0</v>
      </c>
      <c r="C50" s="90">
        <v>0</v>
      </c>
      <c r="D50" s="90">
        <f>B59/12</f>
        <v>10000</v>
      </c>
      <c r="E50" s="90">
        <f>C53/6</f>
        <v>31789.583333333332</v>
      </c>
      <c r="F50" s="91">
        <f t="shared" si="0"/>
        <v>41789.583333333328</v>
      </c>
      <c r="G50" s="91">
        <v>1562.5</v>
      </c>
      <c r="H50" s="91">
        <f t="shared" si="1"/>
        <v>585.41666666666663</v>
      </c>
      <c r="I50" s="91">
        <f t="shared" si="2"/>
        <v>43937.499999999993</v>
      </c>
      <c r="K50" s="92">
        <f t="shared" si="3"/>
        <v>7025000</v>
      </c>
    </row>
    <row r="51" spans="1:11" ht="15" x14ac:dyDescent="0.25">
      <c r="A51" s="89">
        <v>41579</v>
      </c>
      <c r="B51" s="90">
        <v>0</v>
      </c>
      <c r="C51" s="90">
        <v>0</v>
      </c>
      <c r="D51" s="90">
        <f>B59/12</f>
        <v>10000</v>
      </c>
      <c r="E51" s="90">
        <f>C53/6</f>
        <v>31789.583333333332</v>
      </c>
      <c r="F51" s="91">
        <f t="shared" si="0"/>
        <v>41789.583333333328</v>
      </c>
      <c r="G51" s="91">
        <v>1562.5</v>
      </c>
      <c r="H51" s="91">
        <f t="shared" si="1"/>
        <v>585.41666666666663</v>
      </c>
      <c r="I51" s="91">
        <f t="shared" si="2"/>
        <v>43937.499999999993</v>
      </c>
      <c r="K51" s="92">
        <f t="shared" si="3"/>
        <v>7025000</v>
      </c>
    </row>
    <row r="52" spans="1:11" ht="15" x14ac:dyDescent="0.25">
      <c r="A52" s="89">
        <v>41609</v>
      </c>
      <c r="B52" s="90">
        <v>0</v>
      </c>
      <c r="C52" s="90">
        <v>0</v>
      </c>
      <c r="D52" s="90">
        <f>B59/12</f>
        <v>10000</v>
      </c>
      <c r="E52" s="90">
        <f>C53/6</f>
        <v>31789.583333333332</v>
      </c>
      <c r="F52" s="91">
        <f t="shared" si="0"/>
        <v>41789.583333333328</v>
      </c>
      <c r="G52" s="91">
        <v>1562.5</v>
      </c>
      <c r="H52" s="91">
        <f t="shared" si="1"/>
        <v>585.41666666666663</v>
      </c>
      <c r="I52" s="91">
        <f t="shared" si="2"/>
        <v>43937.499999999993</v>
      </c>
      <c r="K52" s="92">
        <f t="shared" si="3"/>
        <v>7025000</v>
      </c>
    </row>
    <row r="53" spans="1:11" ht="15" x14ac:dyDescent="0.25">
      <c r="A53" s="89">
        <v>41640</v>
      </c>
      <c r="B53" s="90">
        <v>0</v>
      </c>
      <c r="C53" s="90">
        <v>190737.5</v>
      </c>
      <c r="D53" s="90">
        <f>B59/12</f>
        <v>10000</v>
      </c>
      <c r="E53" s="90">
        <f>C53/6</f>
        <v>31789.583333333332</v>
      </c>
      <c r="F53" s="91">
        <f t="shared" si="0"/>
        <v>41789.583333333328</v>
      </c>
      <c r="G53" s="91">
        <v>1562.5</v>
      </c>
      <c r="H53" s="91">
        <f t="shared" si="1"/>
        <v>585.41666666666663</v>
      </c>
      <c r="I53" s="91">
        <f t="shared" si="2"/>
        <v>43937.499999999993</v>
      </c>
      <c r="K53" s="92">
        <f t="shared" si="3"/>
        <v>7025000</v>
      </c>
    </row>
    <row r="54" spans="1:11" ht="15" x14ac:dyDescent="0.25">
      <c r="A54" s="89">
        <v>41671</v>
      </c>
      <c r="B54" s="90">
        <v>0</v>
      </c>
      <c r="C54" s="90">
        <v>0</v>
      </c>
      <c r="D54" s="90">
        <f>B59/12</f>
        <v>10000</v>
      </c>
      <c r="E54" s="90">
        <f>C59/6</f>
        <v>31789.583333333332</v>
      </c>
      <c r="F54" s="91">
        <f t="shared" si="0"/>
        <v>41789.583333333328</v>
      </c>
      <c r="G54" s="91">
        <v>1562.5</v>
      </c>
      <c r="H54" s="91">
        <f t="shared" si="1"/>
        <v>585.41666666666663</v>
      </c>
      <c r="I54" s="91">
        <f t="shared" si="2"/>
        <v>43937.499999999993</v>
      </c>
      <c r="J54" s="93"/>
      <c r="K54" s="92">
        <f t="shared" si="3"/>
        <v>7025000</v>
      </c>
    </row>
    <row r="55" spans="1:11" ht="15" x14ac:dyDescent="0.25">
      <c r="A55" s="89">
        <v>41699</v>
      </c>
      <c r="B55" s="90">
        <v>0</v>
      </c>
      <c r="C55" s="90">
        <v>0</v>
      </c>
      <c r="D55" s="90">
        <f>B59/12</f>
        <v>10000</v>
      </c>
      <c r="E55" s="90">
        <f>C59/6</f>
        <v>31789.583333333332</v>
      </c>
      <c r="F55" s="91">
        <f t="shared" si="0"/>
        <v>41789.583333333328</v>
      </c>
      <c r="G55" s="91"/>
      <c r="H55" s="91">
        <f t="shared" si="1"/>
        <v>585.41666666666663</v>
      </c>
      <c r="I55" s="91">
        <f t="shared" si="2"/>
        <v>42374.999999999993</v>
      </c>
      <c r="K55" s="92">
        <f t="shared" si="3"/>
        <v>7025000</v>
      </c>
    </row>
    <row r="56" spans="1:11" ht="15" x14ac:dyDescent="0.25">
      <c r="A56" s="89">
        <v>41730</v>
      </c>
      <c r="B56" s="90">
        <v>0</v>
      </c>
      <c r="C56" s="90">
        <v>0</v>
      </c>
      <c r="D56" s="90">
        <f>B59/12</f>
        <v>10000</v>
      </c>
      <c r="E56" s="90">
        <f>C59/6</f>
        <v>31789.583333333332</v>
      </c>
      <c r="F56" s="91">
        <f t="shared" si="0"/>
        <v>41789.583333333328</v>
      </c>
      <c r="G56" s="91"/>
      <c r="H56" s="91">
        <f t="shared" si="1"/>
        <v>585.41666666666663</v>
      </c>
      <c r="I56" s="91">
        <f t="shared" si="2"/>
        <v>42374.999999999993</v>
      </c>
      <c r="K56" s="92">
        <f t="shared" si="3"/>
        <v>7025000</v>
      </c>
    </row>
    <row r="57" spans="1:11" ht="15" x14ac:dyDescent="0.25">
      <c r="A57" s="89">
        <v>41760</v>
      </c>
      <c r="B57" s="90">
        <v>0</v>
      </c>
      <c r="C57" s="90">
        <v>0</v>
      </c>
      <c r="D57" s="90">
        <f>B59/12</f>
        <v>10000</v>
      </c>
      <c r="E57" s="90">
        <f>C59/6</f>
        <v>31789.583333333332</v>
      </c>
      <c r="F57" s="91">
        <f t="shared" si="0"/>
        <v>41789.583333333328</v>
      </c>
      <c r="G57" s="91"/>
      <c r="H57" s="91">
        <f t="shared" si="1"/>
        <v>585.41666666666663</v>
      </c>
      <c r="I57" s="91">
        <f t="shared" si="2"/>
        <v>42374.999999999993</v>
      </c>
      <c r="K57" s="92">
        <f t="shared" si="3"/>
        <v>7025000</v>
      </c>
    </row>
    <row r="58" spans="1:11" ht="15" x14ac:dyDescent="0.25">
      <c r="A58" s="89">
        <v>41791</v>
      </c>
      <c r="B58" s="90">
        <v>0</v>
      </c>
      <c r="C58" s="90">
        <v>0</v>
      </c>
      <c r="D58" s="90">
        <f>B59/12</f>
        <v>10000</v>
      </c>
      <c r="E58" s="90">
        <f>C59/6</f>
        <v>31789.583333333332</v>
      </c>
      <c r="F58" s="91">
        <f t="shared" si="0"/>
        <v>41789.583333333328</v>
      </c>
      <c r="G58" s="91"/>
      <c r="H58" s="91">
        <f t="shared" si="1"/>
        <v>585.41666666666663</v>
      </c>
      <c r="I58" s="91">
        <f t="shared" si="2"/>
        <v>42374.999999999993</v>
      </c>
      <c r="K58" s="92">
        <f t="shared" si="3"/>
        <v>7025000</v>
      </c>
    </row>
    <row r="59" spans="1:11" ht="15" x14ac:dyDescent="0.25">
      <c r="A59" s="89">
        <v>41821</v>
      </c>
      <c r="B59" s="90">
        <v>120000</v>
      </c>
      <c r="C59" s="90">
        <v>190737.5</v>
      </c>
      <c r="D59" s="90">
        <f>B59/12</f>
        <v>10000</v>
      </c>
      <c r="E59" s="90">
        <f>C59/6</f>
        <v>31789.583333333332</v>
      </c>
      <c r="F59" s="91">
        <f t="shared" si="0"/>
        <v>41789.583333333328</v>
      </c>
      <c r="G59" s="91"/>
      <c r="H59" s="91">
        <f t="shared" si="1"/>
        <v>575.41666666666663</v>
      </c>
      <c r="I59" s="91">
        <f t="shared" si="2"/>
        <v>42364.999999999993</v>
      </c>
      <c r="J59" s="90">
        <f>SUM(F48:F59)</f>
        <v>501474.99999999983</v>
      </c>
      <c r="K59" s="92">
        <f t="shared" si="3"/>
        <v>7025000</v>
      </c>
    </row>
    <row r="60" spans="1:11" ht="15" x14ac:dyDescent="0.25">
      <c r="A60" s="89">
        <v>41852</v>
      </c>
      <c r="B60" s="90">
        <v>0</v>
      </c>
      <c r="C60" s="90">
        <v>0</v>
      </c>
      <c r="D60" s="90">
        <f>B71/12</f>
        <v>10833.333333333334</v>
      </c>
      <c r="E60" s="90">
        <f>C65/6</f>
        <v>31264.583333333332</v>
      </c>
      <c r="F60" s="91">
        <f t="shared" si="0"/>
        <v>42097.916666666664</v>
      </c>
      <c r="G60" s="91"/>
      <c r="H60" s="91">
        <f t="shared" si="1"/>
        <v>575.41666666666663</v>
      </c>
      <c r="I60" s="91">
        <f t="shared" si="2"/>
        <v>42673.333333333328</v>
      </c>
      <c r="K60" s="92">
        <f t="shared" si="3"/>
        <v>6905000</v>
      </c>
    </row>
    <row r="61" spans="1:11" ht="15" x14ac:dyDescent="0.25">
      <c r="A61" s="89">
        <v>41883</v>
      </c>
      <c r="B61" s="90">
        <v>0</v>
      </c>
      <c r="C61" s="90">
        <v>0</v>
      </c>
      <c r="D61" s="90">
        <f>B71/12</f>
        <v>10833.333333333334</v>
      </c>
      <c r="E61" s="90">
        <f>C65/6</f>
        <v>31264.583333333332</v>
      </c>
      <c r="F61" s="91">
        <f t="shared" si="0"/>
        <v>42097.916666666664</v>
      </c>
      <c r="G61" s="91"/>
      <c r="H61" s="91">
        <f t="shared" si="1"/>
        <v>575.41666666666663</v>
      </c>
      <c r="I61" s="91">
        <f t="shared" si="2"/>
        <v>42673.333333333328</v>
      </c>
      <c r="K61" s="92">
        <f t="shared" si="3"/>
        <v>6905000</v>
      </c>
    </row>
    <row r="62" spans="1:11" ht="15" x14ac:dyDescent="0.25">
      <c r="A62" s="89">
        <v>41913</v>
      </c>
      <c r="B62" s="90">
        <v>0</v>
      </c>
      <c r="C62" s="90">
        <v>0</v>
      </c>
      <c r="D62" s="90">
        <f>B71/12</f>
        <v>10833.333333333334</v>
      </c>
      <c r="E62" s="90">
        <f>C65/6</f>
        <v>31264.583333333332</v>
      </c>
      <c r="F62" s="91">
        <f t="shared" si="0"/>
        <v>42097.916666666664</v>
      </c>
      <c r="G62" s="91"/>
      <c r="H62" s="91">
        <f t="shared" si="1"/>
        <v>575.41666666666663</v>
      </c>
      <c r="I62" s="91">
        <f t="shared" si="2"/>
        <v>42673.333333333328</v>
      </c>
      <c r="K62" s="92">
        <f t="shared" si="3"/>
        <v>6905000</v>
      </c>
    </row>
    <row r="63" spans="1:11" ht="15" x14ac:dyDescent="0.25">
      <c r="A63" s="89">
        <v>41944</v>
      </c>
      <c r="B63" s="90">
        <v>0</v>
      </c>
      <c r="C63" s="90">
        <v>0</v>
      </c>
      <c r="D63" s="90">
        <f>B71/12</f>
        <v>10833.333333333334</v>
      </c>
      <c r="E63" s="90">
        <f>C65/6</f>
        <v>31264.583333333332</v>
      </c>
      <c r="F63" s="91">
        <f t="shared" si="0"/>
        <v>42097.916666666664</v>
      </c>
      <c r="G63" s="91"/>
      <c r="H63" s="91">
        <f t="shared" si="1"/>
        <v>575.41666666666663</v>
      </c>
      <c r="I63" s="91">
        <f t="shared" si="2"/>
        <v>42673.333333333328</v>
      </c>
      <c r="K63" s="92">
        <f t="shared" si="3"/>
        <v>6905000</v>
      </c>
    </row>
    <row r="64" spans="1:11" ht="15" x14ac:dyDescent="0.25">
      <c r="A64" s="89">
        <v>41974</v>
      </c>
      <c r="B64" s="90">
        <v>0</v>
      </c>
      <c r="C64" s="90">
        <v>0</v>
      </c>
      <c r="D64" s="90">
        <f>B71/12</f>
        <v>10833.333333333334</v>
      </c>
      <c r="E64" s="90">
        <f>C65/6</f>
        <v>31264.583333333332</v>
      </c>
      <c r="F64" s="91">
        <f t="shared" si="0"/>
        <v>42097.916666666664</v>
      </c>
      <c r="G64" s="91"/>
      <c r="H64" s="91">
        <f t="shared" si="1"/>
        <v>575.41666666666663</v>
      </c>
      <c r="I64" s="91">
        <f t="shared" si="2"/>
        <v>42673.333333333328</v>
      </c>
      <c r="K64" s="92">
        <f t="shared" si="3"/>
        <v>6905000</v>
      </c>
    </row>
    <row r="65" spans="1:11" ht="15" x14ac:dyDescent="0.25">
      <c r="A65" s="89">
        <v>42005</v>
      </c>
      <c r="B65" s="90">
        <v>0</v>
      </c>
      <c r="C65" s="90">
        <v>187587.5</v>
      </c>
      <c r="D65" s="90">
        <f>B71/12</f>
        <v>10833.333333333334</v>
      </c>
      <c r="E65" s="90">
        <f>C65/6</f>
        <v>31264.583333333332</v>
      </c>
      <c r="F65" s="91">
        <f t="shared" si="0"/>
        <v>42097.916666666664</v>
      </c>
      <c r="G65" s="91"/>
      <c r="H65" s="91">
        <f t="shared" si="1"/>
        <v>575.41666666666663</v>
      </c>
      <c r="I65" s="91">
        <f t="shared" si="2"/>
        <v>42673.333333333328</v>
      </c>
      <c r="K65" s="92">
        <f t="shared" si="3"/>
        <v>6905000</v>
      </c>
    </row>
    <row r="66" spans="1:11" ht="15" x14ac:dyDescent="0.25">
      <c r="A66" s="89">
        <v>42036</v>
      </c>
      <c r="B66" s="90">
        <v>0</v>
      </c>
      <c r="C66" s="90">
        <v>0</v>
      </c>
      <c r="D66" s="90">
        <f>B71/12</f>
        <v>10833.333333333334</v>
      </c>
      <c r="E66" s="90">
        <f>C71/6</f>
        <v>31264.583333333332</v>
      </c>
      <c r="F66" s="91">
        <f t="shared" si="0"/>
        <v>42097.916666666664</v>
      </c>
      <c r="G66" s="91"/>
      <c r="H66" s="91">
        <f t="shared" si="1"/>
        <v>575.41666666666663</v>
      </c>
      <c r="I66" s="91">
        <f t="shared" si="2"/>
        <v>42673.333333333328</v>
      </c>
      <c r="K66" s="92">
        <f t="shared" si="3"/>
        <v>6905000</v>
      </c>
    </row>
    <row r="67" spans="1:11" ht="15" x14ac:dyDescent="0.25">
      <c r="A67" s="89">
        <v>42064</v>
      </c>
      <c r="B67" s="90">
        <v>0</v>
      </c>
      <c r="C67" s="90">
        <v>0</v>
      </c>
      <c r="D67" s="90">
        <f>B71/12</f>
        <v>10833.333333333334</v>
      </c>
      <c r="E67" s="90">
        <f>C71/6</f>
        <v>31264.583333333332</v>
      </c>
      <c r="F67" s="91">
        <f t="shared" si="0"/>
        <v>42097.916666666664</v>
      </c>
      <c r="G67" s="91"/>
      <c r="H67" s="91">
        <f t="shared" si="1"/>
        <v>575.41666666666663</v>
      </c>
      <c r="I67" s="91">
        <f t="shared" si="2"/>
        <v>42673.333333333328</v>
      </c>
      <c r="K67" s="92">
        <f t="shared" si="3"/>
        <v>6905000</v>
      </c>
    </row>
    <row r="68" spans="1:11" ht="15" x14ac:dyDescent="0.25">
      <c r="A68" s="89">
        <v>42095</v>
      </c>
      <c r="B68" s="90">
        <v>0</v>
      </c>
      <c r="C68" s="90">
        <v>0</v>
      </c>
      <c r="D68" s="90">
        <f>B71/12</f>
        <v>10833.333333333334</v>
      </c>
      <c r="E68" s="90">
        <f>C71/6</f>
        <v>31264.583333333332</v>
      </c>
      <c r="F68" s="91">
        <f t="shared" si="0"/>
        <v>42097.916666666664</v>
      </c>
      <c r="G68" s="91"/>
      <c r="H68" s="91">
        <f t="shared" si="1"/>
        <v>575.41666666666663</v>
      </c>
      <c r="I68" s="91">
        <f t="shared" si="2"/>
        <v>42673.333333333328</v>
      </c>
      <c r="K68" s="92">
        <f t="shared" si="3"/>
        <v>6905000</v>
      </c>
    </row>
    <row r="69" spans="1:11" ht="15" x14ac:dyDescent="0.25">
      <c r="A69" s="89">
        <v>42125</v>
      </c>
      <c r="B69" s="90">
        <v>0</v>
      </c>
      <c r="C69" s="90">
        <v>0</v>
      </c>
      <c r="D69" s="90">
        <f>B71/12</f>
        <v>10833.333333333334</v>
      </c>
      <c r="E69" s="90">
        <f>C71/6</f>
        <v>31264.583333333332</v>
      </c>
      <c r="F69" s="91">
        <f t="shared" si="0"/>
        <v>42097.916666666664</v>
      </c>
      <c r="G69" s="91"/>
      <c r="H69" s="91">
        <f t="shared" si="1"/>
        <v>575.41666666666663</v>
      </c>
      <c r="I69" s="91">
        <f t="shared" si="2"/>
        <v>42673.333333333328</v>
      </c>
      <c r="K69" s="92">
        <f t="shared" si="3"/>
        <v>6905000</v>
      </c>
    </row>
    <row r="70" spans="1:11" ht="15" x14ac:dyDescent="0.25">
      <c r="A70" s="89">
        <v>42156</v>
      </c>
      <c r="B70" s="90">
        <v>0</v>
      </c>
      <c r="C70" s="90">
        <v>0</v>
      </c>
      <c r="D70" s="90">
        <f>B71/12</f>
        <v>10833.333333333334</v>
      </c>
      <c r="E70" s="90">
        <f>C71/6</f>
        <v>31264.583333333332</v>
      </c>
      <c r="F70" s="91">
        <f t="shared" si="0"/>
        <v>42097.916666666664</v>
      </c>
      <c r="G70" s="91"/>
      <c r="H70" s="91">
        <f t="shared" si="1"/>
        <v>575.41666666666663</v>
      </c>
      <c r="I70" s="91">
        <f t="shared" si="2"/>
        <v>42673.333333333328</v>
      </c>
      <c r="K70" s="92">
        <f t="shared" si="3"/>
        <v>6905000</v>
      </c>
    </row>
    <row r="71" spans="1:11" ht="15" x14ac:dyDescent="0.25">
      <c r="A71" s="89">
        <v>42186</v>
      </c>
      <c r="B71" s="90">
        <v>130000</v>
      </c>
      <c r="C71" s="90">
        <v>187587.5</v>
      </c>
      <c r="D71" s="90">
        <f>B71/12</f>
        <v>10833.333333333334</v>
      </c>
      <c r="E71" s="90">
        <f>C71/6</f>
        <v>31264.583333333332</v>
      </c>
      <c r="F71" s="91">
        <f t="shared" si="0"/>
        <v>42097.916666666664</v>
      </c>
      <c r="G71" s="91"/>
      <c r="H71" s="91">
        <f t="shared" si="1"/>
        <v>564.58333333333337</v>
      </c>
      <c r="I71" s="91">
        <f t="shared" si="2"/>
        <v>42662.5</v>
      </c>
      <c r="J71" s="90">
        <f>SUM(F60:F71)</f>
        <v>505175.00000000006</v>
      </c>
      <c r="K71" s="92">
        <f t="shared" si="3"/>
        <v>6905000</v>
      </c>
    </row>
    <row r="72" spans="1:11" ht="15" x14ac:dyDescent="0.25">
      <c r="A72" s="89">
        <v>42217</v>
      </c>
      <c r="B72" s="90">
        <v>0</v>
      </c>
      <c r="C72" s="90">
        <v>0</v>
      </c>
      <c r="D72" s="90">
        <f>B83/12</f>
        <v>11250</v>
      </c>
      <c r="E72" s="90">
        <f>C77/6</f>
        <v>30695.833333333332</v>
      </c>
      <c r="F72" s="91">
        <f t="shared" ref="F72:F135" si="4">D72+E72</f>
        <v>41945.833333333328</v>
      </c>
      <c r="G72" s="91"/>
      <c r="H72" s="91">
        <f t="shared" si="1"/>
        <v>564.58333333333337</v>
      </c>
      <c r="I72" s="91">
        <f t="shared" si="2"/>
        <v>42510.416666666664</v>
      </c>
      <c r="K72" s="92">
        <f t="shared" si="3"/>
        <v>6775000</v>
      </c>
    </row>
    <row r="73" spans="1:11" ht="15" x14ac:dyDescent="0.25">
      <c r="A73" s="89">
        <v>42248</v>
      </c>
      <c r="B73" s="90">
        <v>0</v>
      </c>
      <c r="C73" s="90">
        <v>0</v>
      </c>
      <c r="D73" s="90">
        <f>B83/12</f>
        <v>11250</v>
      </c>
      <c r="E73" s="90">
        <f>C77/6</f>
        <v>30695.833333333332</v>
      </c>
      <c r="F73" s="91">
        <f t="shared" si="4"/>
        <v>41945.833333333328</v>
      </c>
      <c r="G73" s="91"/>
      <c r="H73" s="91">
        <f t="shared" ref="H73:H136" si="5">+(K74*0.001)/12</f>
        <v>564.58333333333337</v>
      </c>
      <c r="I73" s="91">
        <f t="shared" ref="I73:I136" si="6">+F73+G73+H73</f>
        <v>42510.416666666664</v>
      </c>
      <c r="K73" s="92">
        <f t="shared" si="3"/>
        <v>6775000</v>
      </c>
    </row>
    <row r="74" spans="1:11" ht="15" x14ac:dyDescent="0.25">
      <c r="A74" s="89">
        <v>42278</v>
      </c>
      <c r="B74" s="90">
        <v>0</v>
      </c>
      <c r="C74" s="90">
        <v>0</v>
      </c>
      <c r="D74" s="90">
        <f>B83/12</f>
        <v>11250</v>
      </c>
      <c r="E74" s="90">
        <f>C77/6</f>
        <v>30695.833333333332</v>
      </c>
      <c r="F74" s="91">
        <f t="shared" si="4"/>
        <v>41945.833333333328</v>
      </c>
      <c r="G74" s="91"/>
      <c r="H74" s="91">
        <f t="shared" si="5"/>
        <v>564.58333333333337</v>
      </c>
      <c r="I74" s="91">
        <f t="shared" si="6"/>
        <v>42510.416666666664</v>
      </c>
      <c r="K74" s="92">
        <f t="shared" ref="K74:K137" si="7">+K73-B73</f>
        <v>6775000</v>
      </c>
    </row>
    <row r="75" spans="1:11" ht="15" x14ac:dyDescent="0.25">
      <c r="A75" s="89">
        <v>42309</v>
      </c>
      <c r="B75" s="90">
        <v>0</v>
      </c>
      <c r="C75" s="90">
        <v>0</v>
      </c>
      <c r="D75" s="90">
        <f>B83/12</f>
        <v>11250</v>
      </c>
      <c r="E75" s="90">
        <f>C77/6</f>
        <v>30695.833333333332</v>
      </c>
      <c r="F75" s="91">
        <f t="shared" si="4"/>
        <v>41945.833333333328</v>
      </c>
      <c r="G75" s="91"/>
      <c r="H75" s="91">
        <f t="shared" si="5"/>
        <v>564.58333333333337</v>
      </c>
      <c r="I75" s="91">
        <f t="shared" si="6"/>
        <v>42510.416666666664</v>
      </c>
      <c r="K75" s="92">
        <f t="shared" si="7"/>
        <v>6775000</v>
      </c>
    </row>
    <row r="76" spans="1:11" ht="15" x14ac:dyDescent="0.25">
      <c r="A76" s="89">
        <v>42339</v>
      </c>
      <c r="B76" s="90">
        <v>0</v>
      </c>
      <c r="C76" s="90">
        <v>0</v>
      </c>
      <c r="D76" s="90">
        <f>B83/12</f>
        <v>11250</v>
      </c>
      <c r="E76" s="90">
        <f>C77/6</f>
        <v>30695.833333333332</v>
      </c>
      <c r="F76" s="91">
        <f t="shared" si="4"/>
        <v>41945.833333333328</v>
      </c>
      <c r="G76" s="91"/>
      <c r="H76" s="91">
        <f t="shared" si="5"/>
        <v>564.58333333333337</v>
      </c>
      <c r="I76" s="91">
        <f t="shared" si="6"/>
        <v>42510.416666666664</v>
      </c>
      <c r="K76" s="92">
        <f t="shared" si="7"/>
        <v>6775000</v>
      </c>
    </row>
    <row r="77" spans="1:11" ht="15" x14ac:dyDescent="0.25">
      <c r="A77" s="89">
        <v>42370</v>
      </c>
      <c r="B77" s="90">
        <v>0</v>
      </c>
      <c r="C77" s="90">
        <v>184175</v>
      </c>
      <c r="D77" s="90">
        <f>B83/12</f>
        <v>11250</v>
      </c>
      <c r="E77" s="90">
        <f>C77/6</f>
        <v>30695.833333333332</v>
      </c>
      <c r="F77" s="91">
        <f t="shared" si="4"/>
        <v>41945.833333333328</v>
      </c>
      <c r="G77" s="91"/>
      <c r="H77" s="91">
        <f t="shared" si="5"/>
        <v>564.58333333333337</v>
      </c>
      <c r="I77" s="91">
        <f t="shared" si="6"/>
        <v>42510.416666666664</v>
      </c>
      <c r="K77" s="92">
        <f t="shared" si="7"/>
        <v>6775000</v>
      </c>
    </row>
    <row r="78" spans="1:11" ht="15" x14ac:dyDescent="0.25">
      <c r="A78" s="89">
        <v>42401</v>
      </c>
      <c r="B78" s="90">
        <v>0</v>
      </c>
      <c r="C78" s="90">
        <v>0</v>
      </c>
      <c r="D78" s="90">
        <f>B83/12</f>
        <v>11250</v>
      </c>
      <c r="E78" s="90">
        <f>C83/6</f>
        <v>30695.833333333332</v>
      </c>
      <c r="F78" s="91">
        <f t="shared" si="4"/>
        <v>41945.833333333328</v>
      </c>
      <c r="G78" s="91"/>
      <c r="H78" s="91">
        <f t="shared" si="5"/>
        <v>564.58333333333337</v>
      </c>
      <c r="I78" s="91">
        <f t="shared" si="6"/>
        <v>42510.416666666664</v>
      </c>
      <c r="J78" s="93"/>
      <c r="K78" s="92">
        <f t="shared" si="7"/>
        <v>6775000</v>
      </c>
    </row>
    <row r="79" spans="1:11" ht="15" x14ac:dyDescent="0.25">
      <c r="A79" s="89">
        <v>42430</v>
      </c>
      <c r="B79" s="90">
        <v>0</v>
      </c>
      <c r="C79" s="90">
        <v>0</v>
      </c>
      <c r="D79" s="90">
        <f>B83/12</f>
        <v>11250</v>
      </c>
      <c r="E79" s="90">
        <f>C83/6</f>
        <v>30695.833333333332</v>
      </c>
      <c r="F79" s="91">
        <f t="shared" si="4"/>
        <v>41945.833333333328</v>
      </c>
      <c r="G79" s="91"/>
      <c r="H79" s="91">
        <f t="shared" si="5"/>
        <v>564.58333333333337</v>
      </c>
      <c r="I79" s="91">
        <f t="shared" si="6"/>
        <v>42510.416666666664</v>
      </c>
      <c r="K79" s="92">
        <f t="shared" si="7"/>
        <v>6775000</v>
      </c>
    </row>
    <row r="80" spans="1:11" ht="15" x14ac:dyDescent="0.25">
      <c r="A80" s="89">
        <v>42461</v>
      </c>
      <c r="B80" s="90">
        <v>0</v>
      </c>
      <c r="C80" s="90">
        <v>0</v>
      </c>
      <c r="D80" s="90">
        <f>B83/12</f>
        <v>11250</v>
      </c>
      <c r="E80" s="90">
        <f>C83/6</f>
        <v>30695.833333333332</v>
      </c>
      <c r="F80" s="91">
        <f t="shared" si="4"/>
        <v>41945.833333333328</v>
      </c>
      <c r="G80" s="91"/>
      <c r="H80" s="91">
        <f t="shared" si="5"/>
        <v>564.58333333333337</v>
      </c>
      <c r="I80" s="91">
        <f t="shared" si="6"/>
        <v>42510.416666666664</v>
      </c>
      <c r="K80" s="92">
        <f t="shared" si="7"/>
        <v>6775000</v>
      </c>
    </row>
    <row r="81" spans="1:11" ht="15" x14ac:dyDescent="0.25">
      <c r="A81" s="89">
        <v>42491</v>
      </c>
      <c r="B81" s="90">
        <v>0</v>
      </c>
      <c r="C81" s="90">
        <v>0</v>
      </c>
      <c r="D81" s="90">
        <f>B83/12</f>
        <v>11250</v>
      </c>
      <c r="E81" s="90">
        <f>C83/6</f>
        <v>30695.833333333332</v>
      </c>
      <c r="F81" s="91">
        <f t="shared" si="4"/>
        <v>41945.833333333328</v>
      </c>
      <c r="G81" s="91"/>
      <c r="H81" s="91">
        <f t="shared" si="5"/>
        <v>564.58333333333337</v>
      </c>
      <c r="I81" s="91">
        <f t="shared" si="6"/>
        <v>42510.416666666664</v>
      </c>
      <c r="K81" s="92">
        <f t="shared" si="7"/>
        <v>6775000</v>
      </c>
    </row>
    <row r="82" spans="1:11" ht="15" x14ac:dyDescent="0.25">
      <c r="A82" s="89">
        <v>42522</v>
      </c>
      <c r="B82" s="90">
        <v>0</v>
      </c>
      <c r="C82" s="90">
        <v>0</v>
      </c>
      <c r="D82" s="90">
        <f>B83/12</f>
        <v>11250</v>
      </c>
      <c r="E82" s="90">
        <f>C83/6</f>
        <v>30695.833333333332</v>
      </c>
      <c r="F82" s="91">
        <f t="shared" si="4"/>
        <v>41945.833333333328</v>
      </c>
      <c r="G82" s="91"/>
      <c r="H82" s="91">
        <f t="shared" si="5"/>
        <v>564.58333333333337</v>
      </c>
      <c r="I82" s="91">
        <f t="shared" si="6"/>
        <v>42510.416666666664</v>
      </c>
      <c r="K82" s="92">
        <f t="shared" si="7"/>
        <v>6775000</v>
      </c>
    </row>
    <row r="83" spans="1:11" ht="15" x14ac:dyDescent="0.25">
      <c r="A83" s="89">
        <v>42552</v>
      </c>
      <c r="B83" s="90">
        <v>135000</v>
      </c>
      <c r="C83" s="90">
        <v>184175</v>
      </c>
      <c r="D83" s="90">
        <f>B83/12</f>
        <v>11250</v>
      </c>
      <c r="E83" s="90">
        <f>C83/6</f>
        <v>30695.833333333332</v>
      </c>
      <c r="F83" s="91">
        <f t="shared" si="4"/>
        <v>41945.833333333328</v>
      </c>
      <c r="G83" s="91"/>
      <c r="H83" s="91">
        <f t="shared" si="5"/>
        <v>553.33333333333337</v>
      </c>
      <c r="I83" s="91">
        <f t="shared" si="6"/>
        <v>42499.166666666664</v>
      </c>
      <c r="J83" s="90">
        <f>SUM(F72:F83)</f>
        <v>503349.99999999983</v>
      </c>
      <c r="K83" s="92">
        <f t="shared" si="7"/>
        <v>6775000</v>
      </c>
    </row>
    <row r="84" spans="1:11" ht="15" x14ac:dyDescent="0.25">
      <c r="A84" s="89">
        <v>42583</v>
      </c>
      <c r="B84" s="90">
        <v>0</v>
      </c>
      <c r="C84" s="90">
        <v>0</v>
      </c>
      <c r="D84" s="90">
        <f>B95/12</f>
        <v>11666.666666666666</v>
      </c>
      <c r="E84" s="90">
        <f>C89/6</f>
        <v>30105.208333333332</v>
      </c>
      <c r="F84" s="91">
        <f t="shared" si="4"/>
        <v>41771.875</v>
      </c>
      <c r="G84" s="91"/>
      <c r="H84" s="91">
        <f t="shared" si="5"/>
        <v>553.33333333333337</v>
      </c>
      <c r="I84" s="91">
        <f t="shared" si="6"/>
        <v>42325.208333333336</v>
      </c>
      <c r="K84" s="92">
        <f t="shared" si="7"/>
        <v>6640000</v>
      </c>
    </row>
    <row r="85" spans="1:11" ht="15" x14ac:dyDescent="0.25">
      <c r="A85" s="89">
        <v>42614</v>
      </c>
      <c r="B85" s="90">
        <v>0</v>
      </c>
      <c r="C85" s="90">
        <v>0</v>
      </c>
      <c r="D85" s="90">
        <f>B95/12</f>
        <v>11666.666666666666</v>
      </c>
      <c r="E85" s="90">
        <f>C89/6</f>
        <v>30105.208333333332</v>
      </c>
      <c r="F85" s="91">
        <f t="shared" si="4"/>
        <v>41771.875</v>
      </c>
      <c r="G85" s="91"/>
      <c r="H85" s="91">
        <f t="shared" si="5"/>
        <v>553.33333333333337</v>
      </c>
      <c r="I85" s="91">
        <f t="shared" si="6"/>
        <v>42325.208333333336</v>
      </c>
      <c r="K85" s="92">
        <f t="shared" si="7"/>
        <v>6640000</v>
      </c>
    </row>
    <row r="86" spans="1:11" ht="15" x14ac:dyDescent="0.25">
      <c r="A86" s="89">
        <v>42644</v>
      </c>
      <c r="B86" s="90">
        <v>0</v>
      </c>
      <c r="C86" s="90">
        <v>0</v>
      </c>
      <c r="D86" s="90">
        <f>B95/12</f>
        <v>11666.666666666666</v>
      </c>
      <c r="E86" s="90">
        <f>C89/6</f>
        <v>30105.208333333332</v>
      </c>
      <c r="F86" s="91">
        <f t="shared" si="4"/>
        <v>41771.875</v>
      </c>
      <c r="G86" s="91"/>
      <c r="H86" s="91">
        <f t="shared" si="5"/>
        <v>553.33333333333337</v>
      </c>
      <c r="I86" s="91">
        <f t="shared" si="6"/>
        <v>42325.208333333336</v>
      </c>
      <c r="K86" s="92">
        <f t="shared" si="7"/>
        <v>6640000</v>
      </c>
    </row>
    <row r="87" spans="1:11" ht="15" x14ac:dyDescent="0.25">
      <c r="A87" s="89">
        <v>42675</v>
      </c>
      <c r="B87" s="90">
        <v>0</v>
      </c>
      <c r="C87" s="90">
        <v>0</v>
      </c>
      <c r="D87" s="90">
        <f>B95/12</f>
        <v>11666.666666666666</v>
      </c>
      <c r="E87" s="90">
        <f>C89/6</f>
        <v>30105.208333333332</v>
      </c>
      <c r="F87" s="91">
        <f t="shared" si="4"/>
        <v>41771.875</v>
      </c>
      <c r="G87" s="91"/>
      <c r="H87" s="91">
        <f t="shared" si="5"/>
        <v>553.33333333333337</v>
      </c>
      <c r="I87" s="91">
        <f t="shared" si="6"/>
        <v>42325.208333333336</v>
      </c>
      <c r="K87" s="92">
        <f t="shared" si="7"/>
        <v>6640000</v>
      </c>
    </row>
    <row r="88" spans="1:11" ht="15" x14ac:dyDescent="0.25">
      <c r="A88" s="89">
        <v>42705</v>
      </c>
      <c r="B88" s="90">
        <v>0</v>
      </c>
      <c r="C88" s="90">
        <v>0</v>
      </c>
      <c r="D88" s="90">
        <f>B95/12</f>
        <v>11666.666666666666</v>
      </c>
      <c r="E88" s="90">
        <f>C89/6</f>
        <v>30105.208333333332</v>
      </c>
      <c r="F88" s="91">
        <f t="shared" si="4"/>
        <v>41771.875</v>
      </c>
      <c r="G88" s="91"/>
      <c r="H88" s="91">
        <f t="shared" si="5"/>
        <v>553.33333333333337</v>
      </c>
      <c r="I88" s="91">
        <f t="shared" si="6"/>
        <v>42325.208333333336</v>
      </c>
      <c r="K88" s="92">
        <f t="shared" si="7"/>
        <v>6640000</v>
      </c>
    </row>
    <row r="89" spans="1:11" ht="15" x14ac:dyDescent="0.25">
      <c r="A89" s="89">
        <v>42736</v>
      </c>
      <c r="B89" s="90">
        <v>0</v>
      </c>
      <c r="C89" s="90">
        <v>180631.25</v>
      </c>
      <c r="D89" s="90">
        <f>B95/12</f>
        <v>11666.666666666666</v>
      </c>
      <c r="E89" s="90">
        <f>C89/6</f>
        <v>30105.208333333332</v>
      </c>
      <c r="F89" s="91">
        <f t="shared" si="4"/>
        <v>41771.875</v>
      </c>
      <c r="G89" s="91"/>
      <c r="H89" s="91">
        <f t="shared" si="5"/>
        <v>553.33333333333337</v>
      </c>
      <c r="I89" s="91">
        <f t="shared" si="6"/>
        <v>42325.208333333336</v>
      </c>
      <c r="K89" s="92">
        <f t="shared" si="7"/>
        <v>6640000</v>
      </c>
    </row>
    <row r="90" spans="1:11" ht="15" x14ac:dyDescent="0.25">
      <c r="A90" s="89">
        <v>42767</v>
      </c>
      <c r="B90" s="90">
        <v>0</v>
      </c>
      <c r="C90" s="90">
        <v>0</v>
      </c>
      <c r="D90" s="90">
        <f>B95/12</f>
        <v>11666.666666666666</v>
      </c>
      <c r="E90" s="90">
        <f>C95/6</f>
        <v>30105.208333333332</v>
      </c>
      <c r="F90" s="91">
        <f t="shared" si="4"/>
        <v>41771.875</v>
      </c>
      <c r="G90" s="91"/>
      <c r="H90" s="91">
        <f t="shared" si="5"/>
        <v>553.33333333333337</v>
      </c>
      <c r="I90" s="91">
        <f t="shared" si="6"/>
        <v>42325.208333333336</v>
      </c>
      <c r="K90" s="92">
        <f t="shared" si="7"/>
        <v>6640000</v>
      </c>
    </row>
    <row r="91" spans="1:11" ht="15" x14ac:dyDescent="0.25">
      <c r="A91" s="89">
        <v>42795</v>
      </c>
      <c r="B91" s="90">
        <v>0</v>
      </c>
      <c r="C91" s="90">
        <v>0</v>
      </c>
      <c r="D91" s="90">
        <f>B95/12</f>
        <v>11666.666666666666</v>
      </c>
      <c r="E91" s="90">
        <f>C95/6</f>
        <v>30105.208333333332</v>
      </c>
      <c r="F91" s="91">
        <f t="shared" si="4"/>
        <v>41771.875</v>
      </c>
      <c r="G91" s="91"/>
      <c r="H91" s="91">
        <f t="shared" si="5"/>
        <v>553.33333333333337</v>
      </c>
      <c r="I91" s="91">
        <f t="shared" si="6"/>
        <v>42325.208333333336</v>
      </c>
      <c r="K91" s="92">
        <f t="shared" si="7"/>
        <v>6640000</v>
      </c>
    </row>
    <row r="92" spans="1:11" ht="15" x14ac:dyDescent="0.25">
      <c r="A92" s="89">
        <v>42826</v>
      </c>
      <c r="B92" s="90">
        <v>0</v>
      </c>
      <c r="C92" s="90">
        <v>0</v>
      </c>
      <c r="D92" s="90">
        <f>B95/12</f>
        <v>11666.666666666666</v>
      </c>
      <c r="E92" s="90">
        <f>C95/6</f>
        <v>30105.208333333332</v>
      </c>
      <c r="F92" s="91">
        <f t="shared" si="4"/>
        <v>41771.875</v>
      </c>
      <c r="G92" s="91"/>
      <c r="H92" s="91">
        <f t="shared" si="5"/>
        <v>553.33333333333337</v>
      </c>
      <c r="I92" s="91">
        <f t="shared" si="6"/>
        <v>42325.208333333336</v>
      </c>
      <c r="K92" s="92">
        <f t="shared" si="7"/>
        <v>6640000</v>
      </c>
    </row>
    <row r="93" spans="1:11" ht="15" x14ac:dyDescent="0.25">
      <c r="A93" s="89">
        <v>42856</v>
      </c>
      <c r="B93" s="90">
        <v>0</v>
      </c>
      <c r="C93" s="90">
        <v>0</v>
      </c>
      <c r="D93" s="90">
        <f>B95/12</f>
        <v>11666.666666666666</v>
      </c>
      <c r="E93" s="90">
        <f>C95/6</f>
        <v>30105.208333333332</v>
      </c>
      <c r="F93" s="91">
        <f t="shared" si="4"/>
        <v>41771.875</v>
      </c>
      <c r="G93" s="91"/>
      <c r="H93" s="91">
        <f t="shared" si="5"/>
        <v>553.33333333333337</v>
      </c>
      <c r="I93" s="91">
        <f t="shared" si="6"/>
        <v>42325.208333333336</v>
      </c>
      <c r="K93" s="92">
        <f t="shared" si="7"/>
        <v>6640000</v>
      </c>
    </row>
    <row r="94" spans="1:11" ht="15" x14ac:dyDescent="0.25">
      <c r="A94" s="89">
        <v>42887</v>
      </c>
      <c r="B94" s="90">
        <v>0</v>
      </c>
      <c r="C94" s="90">
        <v>0</v>
      </c>
      <c r="D94" s="90">
        <f>B95/12</f>
        <v>11666.666666666666</v>
      </c>
      <c r="E94" s="90">
        <f>C95/6</f>
        <v>30105.208333333332</v>
      </c>
      <c r="F94" s="91">
        <f t="shared" si="4"/>
        <v>41771.875</v>
      </c>
      <c r="G94" s="91"/>
      <c r="H94" s="91">
        <f t="shared" si="5"/>
        <v>553.33333333333337</v>
      </c>
      <c r="I94" s="91">
        <f t="shared" si="6"/>
        <v>42325.208333333336</v>
      </c>
      <c r="K94" s="92">
        <f t="shared" si="7"/>
        <v>6640000</v>
      </c>
    </row>
    <row r="95" spans="1:11" ht="15" x14ac:dyDescent="0.25">
      <c r="A95" s="89">
        <v>42917</v>
      </c>
      <c r="B95" s="90">
        <v>140000</v>
      </c>
      <c r="C95" s="90">
        <v>180631.25</v>
      </c>
      <c r="D95" s="90">
        <f>B95/12</f>
        <v>11666.666666666666</v>
      </c>
      <c r="E95" s="90">
        <f>C95/6</f>
        <v>30105.208333333332</v>
      </c>
      <c r="F95" s="91">
        <f t="shared" si="4"/>
        <v>41771.875</v>
      </c>
      <c r="G95" s="91"/>
      <c r="H95" s="91">
        <f t="shared" si="5"/>
        <v>541.66666666666663</v>
      </c>
      <c r="I95" s="91">
        <f t="shared" si="6"/>
        <v>42313.541666666664</v>
      </c>
      <c r="J95" s="90">
        <f>SUM(F84:F95)</f>
        <v>501262.5</v>
      </c>
      <c r="K95" s="92">
        <f t="shared" si="7"/>
        <v>6640000</v>
      </c>
    </row>
    <row r="96" spans="1:11" ht="15" x14ac:dyDescent="0.25">
      <c r="A96" s="89">
        <v>42948</v>
      </c>
      <c r="B96" s="90">
        <v>0</v>
      </c>
      <c r="C96" s="90">
        <v>0</v>
      </c>
      <c r="D96" s="90">
        <f>B107/12</f>
        <v>12500</v>
      </c>
      <c r="E96" s="90">
        <f>C101/6</f>
        <v>29492.708333333332</v>
      </c>
      <c r="F96" s="91">
        <f t="shared" si="4"/>
        <v>41992.708333333328</v>
      </c>
      <c r="G96" s="91"/>
      <c r="H96" s="91">
        <f t="shared" si="5"/>
        <v>541.66666666666663</v>
      </c>
      <c r="I96" s="91">
        <f t="shared" si="6"/>
        <v>42534.374999999993</v>
      </c>
      <c r="K96" s="92">
        <f t="shared" si="7"/>
        <v>6500000</v>
      </c>
    </row>
    <row r="97" spans="1:11" ht="15" x14ac:dyDescent="0.25">
      <c r="A97" s="89">
        <v>42979</v>
      </c>
      <c r="B97" s="90">
        <v>0</v>
      </c>
      <c r="C97" s="90">
        <v>0</v>
      </c>
      <c r="D97" s="90">
        <f>B107/12</f>
        <v>12500</v>
      </c>
      <c r="E97" s="90">
        <f>C101/6</f>
        <v>29492.708333333332</v>
      </c>
      <c r="F97" s="91">
        <f t="shared" si="4"/>
        <v>41992.708333333328</v>
      </c>
      <c r="G97" s="91"/>
      <c r="H97" s="91">
        <f t="shared" si="5"/>
        <v>541.66666666666663</v>
      </c>
      <c r="I97" s="91">
        <f t="shared" si="6"/>
        <v>42534.374999999993</v>
      </c>
      <c r="K97" s="92">
        <f t="shared" si="7"/>
        <v>6500000</v>
      </c>
    </row>
    <row r="98" spans="1:11" ht="15" x14ac:dyDescent="0.25">
      <c r="A98" s="89">
        <v>43009</v>
      </c>
      <c r="B98" s="90">
        <v>0</v>
      </c>
      <c r="C98" s="90">
        <v>0</v>
      </c>
      <c r="D98" s="90">
        <f>B107/12</f>
        <v>12500</v>
      </c>
      <c r="E98" s="90">
        <f>C101/6</f>
        <v>29492.708333333332</v>
      </c>
      <c r="F98" s="91">
        <f t="shared" si="4"/>
        <v>41992.708333333328</v>
      </c>
      <c r="G98" s="91"/>
      <c r="H98" s="91">
        <f t="shared" si="5"/>
        <v>541.66666666666663</v>
      </c>
      <c r="I98" s="91">
        <f t="shared" si="6"/>
        <v>42534.374999999993</v>
      </c>
      <c r="K98" s="92">
        <f t="shared" si="7"/>
        <v>6500000</v>
      </c>
    </row>
    <row r="99" spans="1:11" ht="15" x14ac:dyDescent="0.25">
      <c r="A99" s="89">
        <v>43040</v>
      </c>
      <c r="B99" s="90">
        <v>0</v>
      </c>
      <c r="C99" s="90">
        <v>0</v>
      </c>
      <c r="D99" s="90">
        <f>B107/12</f>
        <v>12500</v>
      </c>
      <c r="E99" s="90">
        <f>C101/6</f>
        <v>29492.708333333332</v>
      </c>
      <c r="F99" s="91">
        <f t="shared" si="4"/>
        <v>41992.708333333328</v>
      </c>
      <c r="G99" s="91"/>
      <c r="H99" s="91">
        <f t="shared" si="5"/>
        <v>541.66666666666663</v>
      </c>
      <c r="I99" s="91">
        <f t="shared" si="6"/>
        <v>42534.374999999993</v>
      </c>
      <c r="K99" s="92">
        <f t="shared" si="7"/>
        <v>6500000</v>
      </c>
    </row>
    <row r="100" spans="1:11" ht="15" x14ac:dyDescent="0.25">
      <c r="A100" s="89">
        <v>43070</v>
      </c>
      <c r="B100" s="90">
        <v>0</v>
      </c>
      <c r="C100" s="90">
        <v>0</v>
      </c>
      <c r="D100" s="90">
        <f>B107/12</f>
        <v>12500</v>
      </c>
      <c r="E100" s="90">
        <f>C101/6</f>
        <v>29492.708333333332</v>
      </c>
      <c r="F100" s="91">
        <f t="shared" si="4"/>
        <v>41992.708333333328</v>
      </c>
      <c r="G100" s="91"/>
      <c r="H100" s="91">
        <f t="shared" si="5"/>
        <v>541.66666666666663</v>
      </c>
      <c r="I100" s="91">
        <f t="shared" si="6"/>
        <v>42534.374999999993</v>
      </c>
      <c r="K100" s="92">
        <f t="shared" si="7"/>
        <v>6500000</v>
      </c>
    </row>
    <row r="101" spans="1:11" ht="15" x14ac:dyDescent="0.25">
      <c r="A101" s="89">
        <v>43101</v>
      </c>
      <c r="B101" s="90">
        <v>0</v>
      </c>
      <c r="C101" s="90">
        <v>176956.25</v>
      </c>
      <c r="D101" s="90">
        <f>B107/12</f>
        <v>12500</v>
      </c>
      <c r="E101" s="90">
        <f>C101/6</f>
        <v>29492.708333333332</v>
      </c>
      <c r="F101" s="91">
        <f t="shared" si="4"/>
        <v>41992.708333333328</v>
      </c>
      <c r="G101" s="91"/>
      <c r="H101" s="91">
        <f t="shared" si="5"/>
        <v>541.66666666666663</v>
      </c>
      <c r="I101" s="91">
        <f t="shared" si="6"/>
        <v>42534.374999999993</v>
      </c>
      <c r="K101" s="92">
        <f t="shared" si="7"/>
        <v>6500000</v>
      </c>
    </row>
    <row r="102" spans="1:11" ht="15" x14ac:dyDescent="0.25">
      <c r="A102" s="89">
        <v>43132</v>
      </c>
      <c r="B102" s="90">
        <v>0</v>
      </c>
      <c r="C102" s="90">
        <v>0</v>
      </c>
      <c r="D102" s="90">
        <f>B107/12</f>
        <v>12500</v>
      </c>
      <c r="E102" s="90">
        <f>C107/6</f>
        <v>29492.708333333332</v>
      </c>
      <c r="F102" s="91">
        <f t="shared" si="4"/>
        <v>41992.708333333328</v>
      </c>
      <c r="G102" s="91"/>
      <c r="H102" s="91">
        <f t="shared" si="5"/>
        <v>541.66666666666663</v>
      </c>
      <c r="I102" s="91">
        <f t="shared" si="6"/>
        <v>42534.374999999993</v>
      </c>
      <c r="J102" s="93"/>
      <c r="K102" s="92">
        <f t="shared" si="7"/>
        <v>6500000</v>
      </c>
    </row>
    <row r="103" spans="1:11" ht="15" x14ac:dyDescent="0.25">
      <c r="A103" s="89">
        <v>43160</v>
      </c>
      <c r="B103" s="90">
        <v>0</v>
      </c>
      <c r="C103" s="90">
        <v>0</v>
      </c>
      <c r="D103" s="90">
        <f>B107/12</f>
        <v>12500</v>
      </c>
      <c r="E103" s="90">
        <f>C107/6</f>
        <v>29492.708333333332</v>
      </c>
      <c r="F103" s="91">
        <f t="shared" si="4"/>
        <v>41992.708333333328</v>
      </c>
      <c r="G103" s="91"/>
      <c r="H103" s="91">
        <f t="shared" si="5"/>
        <v>541.66666666666663</v>
      </c>
      <c r="I103" s="91">
        <f t="shared" si="6"/>
        <v>42534.374999999993</v>
      </c>
      <c r="K103" s="92">
        <f t="shared" si="7"/>
        <v>6500000</v>
      </c>
    </row>
    <row r="104" spans="1:11" ht="15" x14ac:dyDescent="0.25">
      <c r="A104" s="89">
        <v>43191</v>
      </c>
      <c r="B104" s="90">
        <v>0</v>
      </c>
      <c r="C104" s="90">
        <v>0</v>
      </c>
      <c r="D104" s="90">
        <f>B107/12</f>
        <v>12500</v>
      </c>
      <c r="E104" s="90">
        <f>C107/6</f>
        <v>29492.708333333332</v>
      </c>
      <c r="F104" s="91">
        <f t="shared" si="4"/>
        <v>41992.708333333328</v>
      </c>
      <c r="G104" s="91"/>
      <c r="H104" s="91">
        <f t="shared" si="5"/>
        <v>541.66666666666663</v>
      </c>
      <c r="I104" s="91">
        <f t="shared" si="6"/>
        <v>42534.374999999993</v>
      </c>
      <c r="K104" s="92">
        <f t="shared" si="7"/>
        <v>6500000</v>
      </c>
    </row>
    <row r="105" spans="1:11" ht="15" x14ac:dyDescent="0.25">
      <c r="A105" s="89">
        <v>43221</v>
      </c>
      <c r="B105" s="90">
        <v>0</v>
      </c>
      <c r="C105" s="90">
        <v>0</v>
      </c>
      <c r="D105" s="90">
        <f>B107/12</f>
        <v>12500</v>
      </c>
      <c r="E105" s="90">
        <f>C107/6</f>
        <v>29492.708333333332</v>
      </c>
      <c r="F105" s="91">
        <f t="shared" si="4"/>
        <v>41992.708333333328</v>
      </c>
      <c r="G105" s="91"/>
      <c r="H105" s="91">
        <f t="shared" si="5"/>
        <v>541.66666666666663</v>
      </c>
      <c r="I105" s="91">
        <f t="shared" si="6"/>
        <v>42534.374999999993</v>
      </c>
      <c r="K105" s="92">
        <f t="shared" si="7"/>
        <v>6500000</v>
      </c>
    </row>
    <row r="106" spans="1:11" ht="15" x14ac:dyDescent="0.25">
      <c r="A106" s="89">
        <v>43252</v>
      </c>
      <c r="B106" s="90">
        <v>0</v>
      </c>
      <c r="C106" s="90">
        <v>0</v>
      </c>
      <c r="D106" s="90">
        <f>B107/12</f>
        <v>12500</v>
      </c>
      <c r="E106" s="90">
        <f>C107/6</f>
        <v>29492.708333333332</v>
      </c>
      <c r="F106" s="91">
        <f t="shared" si="4"/>
        <v>41992.708333333328</v>
      </c>
      <c r="G106" s="91"/>
      <c r="H106" s="91">
        <f t="shared" si="5"/>
        <v>541.66666666666663</v>
      </c>
      <c r="I106" s="91">
        <f t="shared" si="6"/>
        <v>42534.374999999993</v>
      </c>
      <c r="K106" s="92">
        <f t="shared" si="7"/>
        <v>6500000</v>
      </c>
    </row>
    <row r="107" spans="1:11" ht="15" x14ac:dyDescent="0.25">
      <c r="A107" s="89">
        <v>43282</v>
      </c>
      <c r="B107" s="90">
        <v>150000</v>
      </c>
      <c r="C107" s="90">
        <v>176956.25</v>
      </c>
      <c r="D107" s="90">
        <f>B107/12</f>
        <v>12500</v>
      </c>
      <c r="E107" s="90">
        <f>C107/6</f>
        <v>29492.708333333332</v>
      </c>
      <c r="F107" s="91">
        <f t="shared" si="4"/>
        <v>41992.708333333328</v>
      </c>
      <c r="G107" s="91"/>
      <c r="H107" s="91">
        <f t="shared" si="5"/>
        <v>529.16666666666663</v>
      </c>
      <c r="I107" s="91">
        <f t="shared" si="6"/>
        <v>42521.874999999993</v>
      </c>
      <c r="J107" s="90">
        <f>SUM(F96:F107)</f>
        <v>503912.49999999983</v>
      </c>
      <c r="K107" s="92">
        <f t="shared" si="7"/>
        <v>6500000</v>
      </c>
    </row>
    <row r="108" spans="1:11" ht="15" x14ac:dyDescent="0.25">
      <c r="A108" s="89">
        <v>43313</v>
      </c>
      <c r="B108" s="90">
        <v>0</v>
      </c>
      <c r="C108" s="90">
        <v>0</v>
      </c>
      <c r="D108" s="90">
        <f>B119/12</f>
        <v>13333.333333333334</v>
      </c>
      <c r="E108" s="90">
        <f>C113/6</f>
        <v>28836.458333333332</v>
      </c>
      <c r="F108" s="91">
        <f t="shared" si="4"/>
        <v>42169.791666666664</v>
      </c>
      <c r="G108" s="91"/>
      <c r="H108" s="91">
        <f t="shared" si="5"/>
        <v>529.16666666666663</v>
      </c>
      <c r="I108" s="91">
        <f t="shared" si="6"/>
        <v>42698.958333333328</v>
      </c>
      <c r="K108" s="92">
        <f t="shared" si="7"/>
        <v>6350000</v>
      </c>
    </row>
    <row r="109" spans="1:11" ht="15" x14ac:dyDescent="0.25">
      <c r="A109" s="89">
        <v>43344</v>
      </c>
      <c r="B109" s="90">
        <v>0</v>
      </c>
      <c r="C109" s="90">
        <v>0</v>
      </c>
      <c r="D109" s="90">
        <f>B119/12</f>
        <v>13333.333333333334</v>
      </c>
      <c r="E109" s="90">
        <f>C113/6</f>
        <v>28836.458333333332</v>
      </c>
      <c r="F109" s="91">
        <f t="shared" si="4"/>
        <v>42169.791666666664</v>
      </c>
      <c r="G109" s="91"/>
      <c r="H109" s="91">
        <f t="shared" si="5"/>
        <v>529.16666666666663</v>
      </c>
      <c r="I109" s="91">
        <f t="shared" si="6"/>
        <v>42698.958333333328</v>
      </c>
      <c r="K109" s="92">
        <f t="shared" si="7"/>
        <v>6350000</v>
      </c>
    </row>
    <row r="110" spans="1:11" ht="15" x14ac:dyDescent="0.25">
      <c r="A110" s="89">
        <v>43374</v>
      </c>
      <c r="B110" s="90">
        <v>0</v>
      </c>
      <c r="C110" s="90">
        <v>0</v>
      </c>
      <c r="D110" s="90">
        <f>B119/12</f>
        <v>13333.333333333334</v>
      </c>
      <c r="E110" s="90">
        <f>C113/6</f>
        <v>28836.458333333332</v>
      </c>
      <c r="F110" s="91">
        <f t="shared" si="4"/>
        <v>42169.791666666664</v>
      </c>
      <c r="G110" s="91"/>
      <c r="H110" s="91">
        <f t="shared" si="5"/>
        <v>529.16666666666663</v>
      </c>
      <c r="I110" s="91">
        <f t="shared" si="6"/>
        <v>42698.958333333328</v>
      </c>
      <c r="K110" s="92">
        <f t="shared" si="7"/>
        <v>6350000</v>
      </c>
    </row>
    <row r="111" spans="1:11" ht="15" x14ac:dyDescent="0.25">
      <c r="A111" s="89">
        <v>43405</v>
      </c>
      <c r="B111" s="90">
        <v>0</v>
      </c>
      <c r="C111" s="90">
        <v>0</v>
      </c>
      <c r="D111" s="90">
        <f>B119/12</f>
        <v>13333.333333333334</v>
      </c>
      <c r="E111" s="90">
        <f>C113/6</f>
        <v>28836.458333333332</v>
      </c>
      <c r="F111" s="91">
        <f t="shared" si="4"/>
        <v>42169.791666666664</v>
      </c>
      <c r="G111" s="91"/>
      <c r="H111" s="91">
        <f t="shared" si="5"/>
        <v>529.16666666666663</v>
      </c>
      <c r="I111" s="91">
        <f t="shared" si="6"/>
        <v>42698.958333333328</v>
      </c>
      <c r="K111" s="92">
        <f t="shared" si="7"/>
        <v>6350000</v>
      </c>
    </row>
    <row r="112" spans="1:11" ht="15" x14ac:dyDescent="0.25">
      <c r="A112" s="89">
        <v>43435</v>
      </c>
      <c r="B112" s="90">
        <v>0</v>
      </c>
      <c r="C112" s="90">
        <v>0</v>
      </c>
      <c r="D112" s="90">
        <f>B119/12</f>
        <v>13333.333333333334</v>
      </c>
      <c r="E112" s="90">
        <f>C113/6</f>
        <v>28836.458333333332</v>
      </c>
      <c r="F112" s="91">
        <f t="shared" si="4"/>
        <v>42169.791666666664</v>
      </c>
      <c r="G112" s="91"/>
      <c r="H112" s="91">
        <f t="shared" si="5"/>
        <v>529.16666666666663</v>
      </c>
      <c r="I112" s="91">
        <f t="shared" si="6"/>
        <v>42698.958333333328</v>
      </c>
      <c r="K112" s="92">
        <f t="shared" si="7"/>
        <v>6350000</v>
      </c>
    </row>
    <row r="113" spans="1:11" ht="15" x14ac:dyDescent="0.25">
      <c r="A113" s="89">
        <v>43466</v>
      </c>
      <c r="B113" s="90">
        <v>0</v>
      </c>
      <c r="C113" s="90">
        <v>173018.75</v>
      </c>
      <c r="D113" s="90">
        <f>B119/12</f>
        <v>13333.333333333334</v>
      </c>
      <c r="E113" s="90">
        <f>C113/6</f>
        <v>28836.458333333332</v>
      </c>
      <c r="F113" s="91">
        <f t="shared" si="4"/>
        <v>42169.791666666664</v>
      </c>
      <c r="G113" s="91"/>
      <c r="H113" s="91">
        <f t="shared" si="5"/>
        <v>529.16666666666663</v>
      </c>
      <c r="I113" s="91">
        <f t="shared" si="6"/>
        <v>42698.958333333328</v>
      </c>
      <c r="K113" s="92">
        <f t="shared" si="7"/>
        <v>6350000</v>
      </c>
    </row>
    <row r="114" spans="1:11" ht="15" x14ac:dyDescent="0.25">
      <c r="A114" s="89">
        <v>43497</v>
      </c>
      <c r="B114" s="90">
        <v>0</v>
      </c>
      <c r="C114" s="90">
        <v>0</v>
      </c>
      <c r="D114" s="90">
        <f>B119/12</f>
        <v>13333.333333333334</v>
      </c>
      <c r="E114" s="90">
        <f>C119/6</f>
        <v>28836.458333333332</v>
      </c>
      <c r="F114" s="91">
        <f t="shared" si="4"/>
        <v>42169.791666666664</v>
      </c>
      <c r="G114" s="91"/>
      <c r="H114" s="91">
        <f t="shared" si="5"/>
        <v>529.16666666666663</v>
      </c>
      <c r="I114" s="91">
        <f t="shared" si="6"/>
        <v>42698.958333333328</v>
      </c>
      <c r="K114" s="92">
        <f t="shared" si="7"/>
        <v>6350000</v>
      </c>
    </row>
    <row r="115" spans="1:11" ht="15" x14ac:dyDescent="0.25">
      <c r="A115" s="89">
        <v>43525</v>
      </c>
      <c r="B115" s="90">
        <v>0</v>
      </c>
      <c r="C115" s="90">
        <v>0</v>
      </c>
      <c r="D115" s="90">
        <f>B119/12</f>
        <v>13333.333333333334</v>
      </c>
      <c r="E115" s="90">
        <f>C119/6</f>
        <v>28836.458333333332</v>
      </c>
      <c r="F115" s="91">
        <f t="shared" si="4"/>
        <v>42169.791666666664</v>
      </c>
      <c r="G115" s="91"/>
      <c r="H115" s="91">
        <f t="shared" si="5"/>
        <v>529.16666666666663</v>
      </c>
      <c r="I115" s="91">
        <f t="shared" si="6"/>
        <v>42698.958333333328</v>
      </c>
      <c r="K115" s="92">
        <f t="shared" si="7"/>
        <v>6350000</v>
      </c>
    </row>
    <row r="116" spans="1:11" ht="15" x14ac:dyDescent="0.25">
      <c r="A116" s="89">
        <v>43556</v>
      </c>
      <c r="B116" s="90">
        <v>0</v>
      </c>
      <c r="C116" s="90">
        <v>0</v>
      </c>
      <c r="D116" s="90">
        <f>B119/12</f>
        <v>13333.333333333334</v>
      </c>
      <c r="E116" s="90">
        <f>C119/6</f>
        <v>28836.458333333332</v>
      </c>
      <c r="F116" s="91">
        <f t="shared" si="4"/>
        <v>42169.791666666664</v>
      </c>
      <c r="G116" s="91"/>
      <c r="H116" s="91">
        <f t="shared" si="5"/>
        <v>529.16666666666663</v>
      </c>
      <c r="I116" s="91">
        <f t="shared" si="6"/>
        <v>42698.958333333328</v>
      </c>
      <c r="K116" s="92">
        <f t="shared" si="7"/>
        <v>6350000</v>
      </c>
    </row>
    <row r="117" spans="1:11" ht="15" x14ac:dyDescent="0.25">
      <c r="A117" s="89">
        <v>43586</v>
      </c>
      <c r="B117" s="90">
        <v>0</v>
      </c>
      <c r="C117" s="90">
        <v>0</v>
      </c>
      <c r="D117" s="90">
        <f>B119/12</f>
        <v>13333.333333333334</v>
      </c>
      <c r="E117" s="90">
        <f>C119/6</f>
        <v>28836.458333333332</v>
      </c>
      <c r="F117" s="91">
        <f t="shared" si="4"/>
        <v>42169.791666666664</v>
      </c>
      <c r="G117" s="91"/>
      <c r="H117" s="91">
        <f t="shared" si="5"/>
        <v>529.16666666666663</v>
      </c>
      <c r="I117" s="91">
        <f t="shared" si="6"/>
        <v>42698.958333333328</v>
      </c>
      <c r="K117" s="92">
        <f t="shared" si="7"/>
        <v>6350000</v>
      </c>
    </row>
    <row r="118" spans="1:11" ht="15" x14ac:dyDescent="0.25">
      <c r="A118" s="89">
        <v>43617</v>
      </c>
      <c r="B118" s="90">
        <v>0</v>
      </c>
      <c r="C118" s="90">
        <v>0</v>
      </c>
      <c r="D118" s="90">
        <f>B119/12</f>
        <v>13333.333333333334</v>
      </c>
      <c r="E118" s="90">
        <f>C119/6</f>
        <v>28836.458333333332</v>
      </c>
      <c r="F118" s="91">
        <f t="shared" si="4"/>
        <v>42169.791666666664</v>
      </c>
      <c r="G118" s="91"/>
      <c r="H118" s="91">
        <f t="shared" si="5"/>
        <v>529.16666666666663</v>
      </c>
      <c r="I118" s="91">
        <f t="shared" si="6"/>
        <v>42698.958333333328</v>
      </c>
      <c r="K118" s="92">
        <f t="shared" si="7"/>
        <v>6350000</v>
      </c>
    </row>
    <row r="119" spans="1:11" ht="15" x14ac:dyDescent="0.25">
      <c r="A119" s="89">
        <v>43647</v>
      </c>
      <c r="B119" s="90">
        <v>160000</v>
      </c>
      <c r="C119" s="90">
        <v>173018.75</v>
      </c>
      <c r="D119" s="90">
        <f>B119/12</f>
        <v>13333.333333333334</v>
      </c>
      <c r="E119" s="90">
        <f>C119/6</f>
        <v>28836.458333333332</v>
      </c>
      <c r="F119" s="91">
        <f t="shared" si="4"/>
        <v>42169.791666666664</v>
      </c>
      <c r="G119" s="91"/>
      <c r="H119" s="91">
        <f t="shared" si="5"/>
        <v>515.83333333333337</v>
      </c>
      <c r="I119" s="91">
        <f t="shared" si="6"/>
        <v>42685.625</v>
      </c>
      <c r="J119" s="90">
        <f>SUM(F108:F119)</f>
        <v>506037.50000000006</v>
      </c>
      <c r="K119" s="92">
        <f t="shared" si="7"/>
        <v>6350000</v>
      </c>
    </row>
    <row r="120" spans="1:11" ht="15" x14ac:dyDescent="0.25">
      <c r="A120" s="89">
        <v>43678</v>
      </c>
      <c r="B120" s="90">
        <v>0</v>
      </c>
      <c r="C120" s="90">
        <v>0</v>
      </c>
      <c r="D120" s="90">
        <f>B131/12</f>
        <v>13750</v>
      </c>
      <c r="E120" s="90">
        <f>C125/6</f>
        <v>28136.458333333332</v>
      </c>
      <c r="F120" s="91">
        <f t="shared" si="4"/>
        <v>41886.458333333328</v>
      </c>
      <c r="G120" s="91"/>
      <c r="H120" s="91">
        <f t="shared" si="5"/>
        <v>515.83333333333337</v>
      </c>
      <c r="I120" s="91">
        <f t="shared" si="6"/>
        <v>42402.291666666664</v>
      </c>
      <c r="K120" s="92">
        <f t="shared" si="7"/>
        <v>6190000</v>
      </c>
    </row>
    <row r="121" spans="1:11" ht="15" x14ac:dyDescent="0.25">
      <c r="A121" s="89">
        <v>43709</v>
      </c>
      <c r="B121" s="90">
        <v>0</v>
      </c>
      <c r="C121" s="90">
        <v>0</v>
      </c>
      <c r="D121" s="90">
        <f>B131/12</f>
        <v>13750</v>
      </c>
      <c r="E121" s="90">
        <f>C125/6</f>
        <v>28136.458333333332</v>
      </c>
      <c r="F121" s="91">
        <f t="shared" si="4"/>
        <v>41886.458333333328</v>
      </c>
      <c r="G121" s="91"/>
      <c r="H121" s="91">
        <f t="shared" si="5"/>
        <v>515.83333333333337</v>
      </c>
      <c r="I121" s="91">
        <f t="shared" si="6"/>
        <v>42402.291666666664</v>
      </c>
      <c r="K121" s="92">
        <f t="shared" si="7"/>
        <v>6190000</v>
      </c>
    </row>
    <row r="122" spans="1:11" ht="15" x14ac:dyDescent="0.25">
      <c r="A122" s="89">
        <v>43739</v>
      </c>
      <c r="B122" s="90">
        <v>0</v>
      </c>
      <c r="C122" s="90">
        <v>0</v>
      </c>
      <c r="D122" s="90">
        <f>B131/12</f>
        <v>13750</v>
      </c>
      <c r="E122" s="90">
        <f>C125/6</f>
        <v>28136.458333333332</v>
      </c>
      <c r="F122" s="91">
        <f t="shared" si="4"/>
        <v>41886.458333333328</v>
      </c>
      <c r="G122" s="91"/>
      <c r="H122" s="91">
        <f t="shared" si="5"/>
        <v>515.83333333333337</v>
      </c>
      <c r="I122" s="91">
        <f t="shared" si="6"/>
        <v>42402.291666666664</v>
      </c>
      <c r="K122" s="92">
        <f t="shared" si="7"/>
        <v>6190000</v>
      </c>
    </row>
    <row r="123" spans="1:11" ht="15" x14ac:dyDescent="0.25">
      <c r="A123" s="89">
        <v>43770</v>
      </c>
      <c r="B123" s="90">
        <v>0</v>
      </c>
      <c r="C123" s="90">
        <v>0</v>
      </c>
      <c r="D123" s="90">
        <f>B131/12</f>
        <v>13750</v>
      </c>
      <c r="E123" s="90">
        <f>C125/6</f>
        <v>28136.458333333332</v>
      </c>
      <c r="F123" s="91">
        <f t="shared" si="4"/>
        <v>41886.458333333328</v>
      </c>
      <c r="G123" s="91"/>
      <c r="H123" s="91">
        <f t="shared" si="5"/>
        <v>515.83333333333337</v>
      </c>
      <c r="I123" s="91">
        <f t="shared" si="6"/>
        <v>42402.291666666664</v>
      </c>
      <c r="K123" s="92">
        <f t="shared" si="7"/>
        <v>6190000</v>
      </c>
    </row>
    <row r="124" spans="1:11" ht="15" x14ac:dyDescent="0.25">
      <c r="A124" s="89">
        <v>43800</v>
      </c>
      <c r="B124" s="90">
        <v>0</v>
      </c>
      <c r="C124" s="90">
        <v>0</v>
      </c>
      <c r="D124" s="90">
        <f>B131/12</f>
        <v>13750</v>
      </c>
      <c r="E124" s="90">
        <f>C125/6</f>
        <v>28136.458333333332</v>
      </c>
      <c r="F124" s="91">
        <f t="shared" si="4"/>
        <v>41886.458333333328</v>
      </c>
      <c r="G124" s="91"/>
      <c r="H124" s="91">
        <f t="shared" si="5"/>
        <v>515.83333333333337</v>
      </c>
      <c r="I124" s="91">
        <f t="shared" si="6"/>
        <v>42402.291666666664</v>
      </c>
      <c r="K124" s="92">
        <f t="shared" si="7"/>
        <v>6190000</v>
      </c>
    </row>
    <row r="125" spans="1:11" ht="15" x14ac:dyDescent="0.25">
      <c r="A125" s="89">
        <v>43831</v>
      </c>
      <c r="B125" s="90">
        <v>0</v>
      </c>
      <c r="C125" s="90">
        <v>168818.75</v>
      </c>
      <c r="D125" s="90">
        <f>B131/12</f>
        <v>13750</v>
      </c>
      <c r="E125" s="90">
        <f>C125/6</f>
        <v>28136.458333333332</v>
      </c>
      <c r="F125" s="91">
        <f t="shared" si="4"/>
        <v>41886.458333333328</v>
      </c>
      <c r="G125" s="91"/>
      <c r="H125" s="91">
        <f t="shared" si="5"/>
        <v>515.83333333333337</v>
      </c>
      <c r="I125" s="91">
        <f t="shared" si="6"/>
        <v>42402.291666666664</v>
      </c>
      <c r="K125" s="92">
        <f t="shared" si="7"/>
        <v>6190000</v>
      </c>
    </row>
    <row r="126" spans="1:11" ht="15" x14ac:dyDescent="0.25">
      <c r="A126" s="89">
        <v>43862</v>
      </c>
      <c r="B126" s="90">
        <v>0</v>
      </c>
      <c r="C126" s="90">
        <v>0</v>
      </c>
      <c r="D126" s="90">
        <f>B131/12</f>
        <v>13750</v>
      </c>
      <c r="E126" s="90">
        <f>C131/6</f>
        <v>28136.458333333332</v>
      </c>
      <c r="F126" s="91">
        <f t="shared" si="4"/>
        <v>41886.458333333328</v>
      </c>
      <c r="G126" s="91"/>
      <c r="H126" s="91">
        <f t="shared" si="5"/>
        <v>515.83333333333337</v>
      </c>
      <c r="I126" s="91">
        <f t="shared" si="6"/>
        <v>42402.291666666664</v>
      </c>
      <c r="J126" s="93"/>
      <c r="K126" s="92">
        <f t="shared" si="7"/>
        <v>6190000</v>
      </c>
    </row>
    <row r="127" spans="1:11" ht="15" x14ac:dyDescent="0.25">
      <c r="A127" s="89">
        <v>43891</v>
      </c>
      <c r="B127" s="90">
        <v>0</v>
      </c>
      <c r="C127" s="90">
        <v>0</v>
      </c>
      <c r="D127" s="90">
        <f>B131/12</f>
        <v>13750</v>
      </c>
      <c r="E127" s="90">
        <f>C131/6</f>
        <v>28136.458333333332</v>
      </c>
      <c r="F127" s="91">
        <f t="shared" si="4"/>
        <v>41886.458333333328</v>
      </c>
      <c r="G127" s="91"/>
      <c r="H127" s="91">
        <f t="shared" si="5"/>
        <v>515.83333333333337</v>
      </c>
      <c r="I127" s="91">
        <f t="shared" si="6"/>
        <v>42402.291666666664</v>
      </c>
      <c r="K127" s="92">
        <f t="shared" si="7"/>
        <v>6190000</v>
      </c>
    </row>
    <row r="128" spans="1:11" ht="15" x14ac:dyDescent="0.25">
      <c r="A128" s="89">
        <v>43922</v>
      </c>
      <c r="B128" s="90">
        <v>0</v>
      </c>
      <c r="C128" s="90">
        <v>0</v>
      </c>
      <c r="D128" s="90">
        <f>B131/12</f>
        <v>13750</v>
      </c>
      <c r="E128" s="90">
        <f>C131/6</f>
        <v>28136.458333333332</v>
      </c>
      <c r="F128" s="91">
        <f t="shared" si="4"/>
        <v>41886.458333333328</v>
      </c>
      <c r="G128" s="91"/>
      <c r="H128" s="91">
        <f t="shared" si="5"/>
        <v>515.83333333333337</v>
      </c>
      <c r="I128" s="91">
        <f t="shared" si="6"/>
        <v>42402.291666666664</v>
      </c>
      <c r="K128" s="92">
        <f t="shared" si="7"/>
        <v>6190000</v>
      </c>
    </row>
    <row r="129" spans="1:11" ht="15" x14ac:dyDescent="0.25">
      <c r="A129" s="89">
        <v>43952</v>
      </c>
      <c r="B129" s="90">
        <v>0</v>
      </c>
      <c r="C129" s="90">
        <v>0</v>
      </c>
      <c r="D129" s="90">
        <f>B131/12</f>
        <v>13750</v>
      </c>
      <c r="E129" s="90">
        <f>C131/6</f>
        <v>28136.458333333332</v>
      </c>
      <c r="F129" s="91">
        <f t="shared" si="4"/>
        <v>41886.458333333328</v>
      </c>
      <c r="G129" s="91"/>
      <c r="H129" s="91">
        <f t="shared" si="5"/>
        <v>515.83333333333337</v>
      </c>
      <c r="I129" s="91">
        <f t="shared" si="6"/>
        <v>42402.291666666664</v>
      </c>
      <c r="K129" s="92">
        <f t="shared" si="7"/>
        <v>6190000</v>
      </c>
    </row>
    <row r="130" spans="1:11" ht="15" x14ac:dyDescent="0.25">
      <c r="A130" s="89">
        <v>43983</v>
      </c>
      <c r="B130" s="90">
        <v>0</v>
      </c>
      <c r="C130" s="90">
        <v>0</v>
      </c>
      <c r="D130" s="90">
        <f>B131/12</f>
        <v>13750</v>
      </c>
      <c r="E130" s="90">
        <f>C131/6</f>
        <v>28136.458333333332</v>
      </c>
      <c r="F130" s="91">
        <f t="shared" si="4"/>
        <v>41886.458333333328</v>
      </c>
      <c r="G130" s="91"/>
      <c r="H130" s="91">
        <f t="shared" si="5"/>
        <v>515.83333333333337</v>
      </c>
      <c r="I130" s="91">
        <f t="shared" si="6"/>
        <v>42402.291666666664</v>
      </c>
      <c r="K130" s="92">
        <f t="shared" si="7"/>
        <v>6190000</v>
      </c>
    </row>
    <row r="131" spans="1:11" ht="15" x14ac:dyDescent="0.25">
      <c r="A131" s="89">
        <v>44013</v>
      </c>
      <c r="B131" s="90">
        <v>165000</v>
      </c>
      <c r="C131" s="90">
        <v>168818.75</v>
      </c>
      <c r="D131" s="90">
        <f>B131/12</f>
        <v>13750</v>
      </c>
      <c r="E131" s="90">
        <f>C131/6</f>
        <v>28136.458333333332</v>
      </c>
      <c r="F131" s="91">
        <f t="shared" si="4"/>
        <v>41886.458333333328</v>
      </c>
      <c r="G131" s="91"/>
      <c r="H131" s="91">
        <f t="shared" si="5"/>
        <v>502.08333333333331</v>
      </c>
      <c r="I131" s="91">
        <f t="shared" si="6"/>
        <v>42388.541666666664</v>
      </c>
      <c r="J131" s="90">
        <f>SUM(F120:F131)</f>
        <v>502637.49999999983</v>
      </c>
      <c r="K131" s="92">
        <f t="shared" si="7"/>
        <v>6190000</v>
      </c>
    </row>
    <row r="132" spans="1:11" ht="15" x14ac:dyDescent="0.25">
      <c r="A132" s="89">
        <v>44044</v>
      </c>
      <c r="B132" s="90">
        <v>0</v>
      </c>
      <c r="C132" s="90">
        <v>0</v>
      </c>
      <c r="D132" s="90">
        <f>B143/12</f>
        <v>14583.333333333334</v>
      </c>
      <c r="E132" s="90">
        <f>C137/6</f>
        <v>27414.583333333332</v>
      </c>
      <c r="F132" s="91">
        <f t="shared" si="4"/>
        <v>41997.916666666664</v>
      </c>
      <c r="G132" s="91"/>
      <c r="H132" s="91">
        <f t="shared" si="5"/>
        <v>502.08333333333331</v>
      </c>
      <c r="I132" s="91">
        <f t="shared" si="6"/>
        <v>42500</v>
      </c>
      <c r="K132" s="92">
        <f t="shared" si="7"/>
        <v>6025000</v>
      </c>
    </row>
    <row r="133" spans="1:11" ht="15" x14ac:dyDescent="0.25">
      <c r="A133" s="89">
        <v>44075</v>
      </c>
      <c r="B133" s="90">
        <v>0</v>
      </c>
      <c r="C133" s="90">
        <v>0</v>
      </c>
      <c r="D133" s="90">
        <f>B143/12</f>
        <v>14583.333333333334</v>
      </c>
      <c r="E133" s="90">
        <f>C137/6</f>
        <v>27414.583333333332</v>
      </c>
      <c r="F133" s="91">
        <f t="shared" si="4"/>
        <v>41997.916666666664</v>
      </c>
      <c r="G133" s="91"/>
      <c r="H133" s="91">
        <f t="shared" si="5"/>
        <v>502.08333333333331</v>
      </c>
      <c r="I133" s="91">
        <f t="shared" si="6"/>
        <v>42500</v>
      </c>
      <c r="K133" s="92">
        <f t="shared" si="7"/>
        <v>6025000</v>
      </c>
    </row>
    <row r="134" spans="1:11" ht="15" x14ac:dyDescent="0.25">
      <c r="A134" s="89">
        <v>44105</v>
      </c>
      <c r="B134" s="90">
        <v>0</v>
      </c>
      <c r="C134" s="90">
        <v>0</v>
      </c>
      <c r="D134" s="90">
        <f>B143/12</f>
        <v>14583.333333333334</v>
      </c>
      <c r="E134" s="90">
        <f>C137/6</f>
        <v>27414.583333333332</v>
      </c>
      <c r="F134" s="91">
        <f t="shared" si="4"/>
        <v>41997.916666666664</v>
      </c>
      <c r="G134" s="91"/>
      <c r="H134" s="91">
        <f t="shared" si="5"/>
        <v>502.08333333333331</v>
      </c>
      <c r="I134" s="91">
        <f t="shared" si="6"/>
        <v>42500</v>
      </c>
      <c r="K134" s="92">
        <f t="shared" si="7"/>
        <v>6025000</v>
      </c>
    </row>
    <row r="135" spans="1:11" ht="15" x14ac:dyDescent="0.25">
      <c r="A135" s="89">
        <v>44136</v>
      </c>
      <c r="B135" s="90">
        <v>0</v>
      </c>
      <c r="C135" s="90">
        <v>0</v>
      </c>
      <c r="D135" s="90">
        <f>B143/12</f>
        <v>14583.333333333334</v>
      </c>
      <c r="E135" s="90">
        <f>C137/6</f>
        <v>27414.583333333332</v>
      </c>
      <c r="F135" s="91">
        <f t="shared" si="4"/>
        <v>41997.916666666664</v>
      </c>
      <c r="G135" s="91"/>
      <c r="H135" s="91">
        <f t="shared" si="5"/>
        <v>502.08333333333331</v>
      </c>
      <c r="I135" s="91">
        <f t="shared" si="6"/>
        <v>42500</v>
      </c>
      <c r="K135" s="92">
        <f t="shared" si="7"/>
        <v>6025000</v>
      </c>
    </row>
    <row r="136" spans="1:11" ht="15" x14ac:dyDescent="0.25">
      <c r="A136" s="89">
        <v>44166</v>
      </c>
      <c r="B136" s="90">
        <v>0</v>
      </c>
      <c r="C136" s="90">
        <v>0</v>
      </c>
      <c r="D136" s="90">
        <f>B143/12</f>
        <v>14583.333333333334</v>
      </c>
      <c r="E136" s="90">
        <f>C137/6</f>
        <v>27414.583333333332</v>
      </c>
      <c r="F136" s="91">
        <f t="shared" ref="F136:F199" si="8">D136+E136</f>
        <v>41997.916666666664</v>
      </c>
      <c r="G136" s="91"/>
      <c r="H136" s="91">
        <f t="shared" si="5"/>
        <v>502.08333333333331</v>
      </c>
      <c r="I136" s="91">
        <f t="shared" si="6"/>
        <v>42500</v>
      </c>
      <c r="K136" s="92">
        <f t="shared" si="7"/>
        <v>6025000</v>
      </c>
    </row>
    <row r="137" spans="1:11" ht="15" x14ac:dyDescent="0.25">
      <c r="A137" s="89">
        <v>44197</v>
      </c>
      <c r="B137" s="90">
        <v>0</v>
      </c>
      <c r="C137" s="90">
        <v>164487.5</v>
      </c>
      <c r="D137" s="90">
        <f>B143/12</f>
        <v>14583.333333333334</v>
      </c>
      <c r="E137" s="90">
        <f>C137/6</f>
        <v>27414.583333333332</v>
      </c>
      <c r="F137" s="91">
        <f t="shared" si="8"/>
        <v>41997.916666666664</v>
      </c>
      <c r="G137" s="91"/>
      <c r="H137" s="91">
        <f t="shared" ref="H137:H200" si="9">+(K138*0.001)/12</f>
        <v>502.08333333333331</v>
      </c>
      <c r="I137" s="91">
        <f t="shared" ref="I137:I200" si="10">+F137+G137+H137</f>
        <v>42500</v>
      </c>
      <c r="K137" s="92">
        <f t="shared" si="7"/>
        <v>6025000</v>
      </c>
    </row>
    <row r="138" spans="1:11" ht="15" x14ac:dyDescent="0.25">
      <c r="A138" s="89">
        <v>44228</v>
      </c>
      <c r="B138" s="90">
        <v>0</v>
      </c>
      <c r="C138" s="90">
        <v>0</v>
      </c>
      <c r="D138" s="90">
        <f>B143/12</f>
        <v>14583.333333333334</v>
      </c>
      <c r="E138" s="90">
        <f>C143/6</f>
        <v>27414.583333333332</v>
      </c>
      <c r="F138" s="91">
        <f t="shared" si="8"/>
        <v>41997.916666666664</v>
      </c>
      <c r="G138" s="91"/>
      <c r="H138" s="91">
        <f t="shared" si="9"/>
        <v>502.08333333333331</v>
      </c>
      <c r="I138" s="91">
        <f t="shared" si="10"/>
        <v>42500</v>
      </c>
      <c r="K138" s="92">
        <f t="shared" ref="K138:K201" si="11">+K137-B137</f>
        <v>6025000</v>
      </c>
    </row>
    <row r="139" spans="1:11" ht="15" x14ac:dyDescent="0.25">
      <c r="A139" s="89">
        <v>44256</v>
      </c>
      <c r="B139" s="90">
        <v>0</v>
      </c>
      <c r="C139" s="90">
        <v>0</v>
      </c>
      <c r="D139" s="90">
        <f>B143/12</f>
        <v>14583.333333333334</v>
      </c>
      <c r="E139" s="90">
        <f>C143/6</f>
        <v>27414.583333333332</v>
      </c>
      <c r="F139" s="91">
        <f t="shared" si="8"/>
        <v>41997.916666666664</v>
      </c>
      <c r="G139" s="91"/>
      <c r="H139" s="91">
        <f t="shared" si="9"/>
        <v>502.08333333333331</v>
      </c>
      <c r="I139" s="91">
        <f t="shared" si="10"/>
        <v>42500</v>
      </c>
      <c r="K139" s="92">
        <f t="shared" si="11"/>
        <v>6025000</v>
      </c>
    </row>
    <row r="140" spans="1:11" ht="15" x14ac:dyDescent="0.25">
      <c r="A140" s="89">
        <v>44287</v>
      </c>
      <c r="B140" s="90">
        <v>0</v>
      </c>
      <c r="C140" s="90">
        <v>0</v>
      </c>
      <c r="D140" s="90">
        <f>B143/12</f>
        <v>14583.333333333334</v>
      </c>
      <c r="E140" s="90">
        <f>C143/6</f>
        <v>27414.583333333332</v>
      </c>
      <c r="F140" s="91">
        <f t="shared" si="8"/>
        <v>41997.916666666664</v>
      </c>
      <c r="G140" s="91"/>
      <c r="H140" s="91">
        <f t="shared" si="9"/>
        <v>502.08333333333331</v>
      </c>
      <c r="I140" s="91">
        <f t="shared" si="10"/>
        <v>42500</v>
      </c>
      <c r="K140" s="92">
        <f t="shared" si="11"/>
        <v>6025000</v>
      </c>
    </row>
    <row r="141" spans="1:11" ht="15" x14ac:dyDescent="0.25">
      <c r="A141" s="89">
        <v>44317</v>
      </c>
      <c r="B141" s="90">
        <v>0</v>
      </c>
      <c r="C141" s="90">
        <v>0</v>
      </c>
      <c r="D141" s="90">
        <f>B143/12</f>
        <v>14583.333333333334</v>
      </c>
      <c r="E141" s="90">
        <f>C143/6</f>
        <v>27414.583333333332</v>
      </c>
      <c r="F141" s="91">
        <f t="shared" si="8"/>
        <v>41997.916666666664</v>
      </c>
      <c r="G141" s="91"/>
      <c r="H141" s="91">
        <f t="shared" si="9"/>
        <v>502.08333333333331</v>
      </c>
      <c r="I141" s="91">
        <f t="shared" si="10"/>
        <v>42500</v>
      </c>
      <c r="K141" s="92">
        <f t="shared" si="11"/>
        <v>6025000</v>
      </c>
    </row>
    <row r="142" spans="1:11" ht="15" x14ac:dyDescent="0.25">
      <c r="A142" s="89">
        <v>44348</v>
      </c>
      <c r="B142" s="90">
        <v>0</v>
      </c>
      <c r="C142" s="90">
        <v>0</v>
      </c>
      <c r="D142" s="90">
        <f>B143/12</f>
        <v>14583.333333333334</v>
      </c>
      <c r="E142" s="90">
        <f>C143/6</f>
        <v>27414.583333333332</v>
      </c>
      <c r="F142" s="91">
        <f t="shared" si="8"/>
        <v>41997.916666666664</v>
      </c>
      <c r="G142" s="91"/>
      <c r="H142" s="91">
        <f t="shared" si="9"/>
        <v>502.08333333333331</v>
      </c>
      <c r="I142" s="91">
        <f t="shared" si="10"/>
        <v>42500</v>
      </c>
      <c r="K142" s="92">
        <f t="shared" si="11"/>
        <v>6025000</v>
      </c>
    </row>
    <row r="143" spans="1:11" s="117" customFormat="1" ht="15" x14ac:dyDescent="0.25">
      <c r="A143" s="114">
        <v>44378</v>
      </c>
      <c r="B143" s="115">
        <v>175000</v>
      </c>
      <c r="C143" s="115">
        <v>164487.5</v>
      </c>
      <c r="D143" s="115">
        <f>B143/12</f>
        <v>14583.333333333334</v>
      </c>
      <c r="E143" s="115">
        <f>C143/6</f>
        <v>27414.583333333332</v>
      </c>
      <c r="F143" s="115">
        <f t="shared" si="8"/>
        <v>41997.916666666664</v>
      </c>
      <c r="G143" s="115"/>
      <c r="H143" s="115">
        <f t="shared" si="9"/>
        <v>487.5</v>
      </c>
      <c r="I143" s="115">
        <f t="shared" si="10"/>
        <v>42485.416666666664</v>
      </c>
      <c r="J143" s="115">
        <f>SUM(F132:F143)</f>
        <v>503975.00000000006</v>
      </c>
      <c r="K143" s="116">
        <f t="shared" si="11"/>
        <v>6025000</v>
      </c>
    </row>
    <row r="144" spans="1:11" s="117" customFormat="1" ht="15" x14ac:dyDescent="0.25">
      <c r="A144" s="114">
        <v>44409</v>
      </c>
      <c r="B144" s="115">
        <v>0</v>
      </c>
      <c r="C144" s="115">
        <v>0</v>
      </c>
      <c r="D144" s="115">
        <f>B155/12</f>
        <v>15416.666666666666</v>
      </c>
      <c r="E144" s="115">
        <f>C149/6</f>
        <v>26648.958333333332</v>
      </c>
      <c r="F144" s="115">
        <f t="shared" si="8"/>
        <v>42065.625</v>
      </c>
      <c r="G144" s="115"/>
      <c r="H144" s="115">
        <f t="shared" si="9"/>
        <v>487.5</v>
      </c>
      <c r="I144" s="115">
        <f t="shared" si="10"/>
        <v>42553.125</v>
      </c>
      <c r="K144" s="116">
        <f t="shared" si="11"/>
        <v>5850000</v>
      </c>
    </row>
    <row r="145" spans="1:11" s="117" customFormat="1" ht="15" x14ac:dyDescent="0.25">
      <c r="A145" s="114">
        <v>44440</v>
      </c>
      <c r="B145" s="115">
        <v>0</v>
      </c>
      <c r="C145" s="115">
        <v>0</v>
      </c>
      <c r="D145" s="115">
        <f>B155/12</f>
        <v>15416.666666666666</v>
      </c>
      <c r="E145" s="115">
        <f>C149/6</f>
        <v>26648.958333333332</v>
      </c>
      <c r="F145" s="115">
        <f t="shared" si="8"/>
        <v>42065.625</v>
      </c>
      <c r="G145" s="115"/>
      <c r="H145" s="115">
        <f t="shared" si="9"/>
        <v>487.5</v>
      </c>
      <c r="I145" s="115">
        <f t="shared" si="10"/>
        <v>42553.125</v>
      </c>
      <c r="K145" s="116">
        <f t="shared" si="11"/>
        <v>5850000</v>
      </c>
    </row>
    <row r="146" spans="1:11" s="117" customFormat="1" ht="15" x14ac:dyDescent="0.25">
      <c r="A146" s="114">
        <v>44470</v>
      </c>
      <c r="B146" s="115">
        <v>0</v>
      </c>
      <c r="C146" s="115">
        <v>0</v>
      </c>
      <c r="D146" s="115">
        <f>B155/12</f>
        <v>15416.666666666666</v>
      </c>
      <c r="E146" s="115">
        <f>C149/6</f>
        <v>26648.958333333332</v>
      </c>
      <c r="F146" s="115">
        <f t="shared" si="8"/>
        <v>42065.625</v>
      </c>
      <c r="G146" s="115"/>
      <c r="H146" s="115">
        <f t="shared" si="9"/>
        <v>487.5</v>
      </c>
      <c r="I146" s="115">
        <f t="shared" si="10"/>
        <v>42553.125</v>
      </c>
      <c r="K146" s="116">
        <f t="shared" si="11"/>
        <v>5850000</v>
      </c>
    </row>
    <row r="147" spans="1:11" s="117" customFormat="1" ht="15" x14ac:dyDescent="0.25">
      <c r="A147" s="114">
        <v>44501</v>
      </c>
      <c r="B147" s="115">
        <v>0</v>
      </c>
      <c r="C147" s="115">
        <v>0</v>
      </c>
      <c r="D147" s="115">
        <f>B155/12</f>
        <v>15416.666666666666</v>
      </c>
      <c r="E147" s="115">
        <f>C149/6</f>
        <v>26648.958333333332</v>
      </c>
      <c r="F147" s="115">
        <f t="shared" si="8"/>
        <v>42065.625</v>
      </c>
      <c r="G147" s="115"/>
      <c r="H147" s="115">
        <f t="shared" si="9"/>
        <v>487.5</v>
      </c>
      <c r="I147" s="115">
        <f t="shared" si="10"/>
        <v>42553.125</v>
      </c>
      <c r="K147" s="116">
        <f t="shared" si="11"/>
        <v>5850000</v>
      </c>
    </row>
    <row r="148" spans="1:11" s="117" customFormat="1" ht="15" x14ac:dyDescent="0.25">
      <c r="A148" s="114">
        <v>44531</v>
      </c>
      <c r="B148" s="115">
        <v>0</v>
      </c>
      <c r="C148" s="115">
        <v>0</v>
      </c>
      <c r="D148" s="115">
        <f>B155/12</f>
        <v>15416.666666666666</v>
      </c>
      <c r="E148" s="115">
        <f>C149/6</f>
        <v>26648.958333333332</v>
      </c>
      <c r="F148" s="115">
        <f t="shared" si="8"/>
        <v>42065.625</v>
      </c>
      <c r="G148" s="115"/>
      <c r="H148" s="115">
        <f t="shared" si="9"/>
        <v>487.5</v>
      </c>
      <c r="I148" s="115">
        <f t="shared" si="10"/>
        <v>42553.125</v>
      </c>
      <c r="K148" s="116">
        <f t="shared" si="11"/>
        <v>5850000</v>
      </c>
    </row>
    <row r="149" spans="1:11" s="117" customFormat="1" ht="15" x14ac:dyDescent="0.25">
      <c r="A149" s="114">
        <v>44562</v>
      </c>
      <c r="B149" s="115">
        <v>0</v>
      </c>
      <c r="C149" s="115">
        <v>159893.75</v>
      </c>
      <c r="D149" s="115">
        <f>B155/12</f>
        <v>15416.666666666666</v>
      </c>
      <c r="E149" s="115">
        <f>C149/6</f>
        <v>26648.958333333332</v>
      </c>
      <c r="F149" s="115">
        <f t="shared" si="8"/>
        <v>42065.625</v>
      </c>
      <c r="G149" s="115"/>
      <c r="H149" s="115">
        <f t="shared" si="9"/>
        <v>487.5</v>
      </c>
      <c r="I149" s="115">
        <f t="shared" si="10"/>
        <v>42553.125</v>
      </c>
      <c r="K149" s="116">
        <f t="shared" si="11"/>
        <v>5850000</v>
      </c>
    </row>
    <row r="150" spans="1:11" s="117" customFormat="1" ht="15" x14ac:dyDescent="0.25">
      <c r="A150" s="114">
        <v>44593</v>
      </c>
      <c r="B150" s="115">
        <v>0</v>
      </c>
      <c r="C150" s="115">
        <v>0</v>
      </c>
      <c r="D150" s="115">
        <f>B155/12</f>
        <v>15416.666666666666</v>
      </c>
      <c r="E150" s="115">
        <f>C155/6</f>
        <v>26648.958333333332</v>
      </c>
      <c r="F150" s="115">
        <f t="shared" si="8"/>
        <v>42065.625</v>
      </c>
      <c r="G150" s="115"/>
      <c r="H150" s="115">
        <f t="shared" si="9"/>
        <v>487.5</v>
      </c>
      <c r="I150" s="115">
        <f t="shared" si="10"/>
        <v>42553.125</v>
      </c>
      <c r="J150" s="118"/>
      <c r="K150" s="116">
        <f t="shared" si="11"/>
        <v>5850000</v>
      </c>
    </row>
    <row r="151" spans="1:11" s="117" customFormat="1" ht="15" x14ac:dyDescent="0.25">
      <c r="A151" s="114">
        <v>44621</v>
      </c>
      <c r="B151" s="115">
        <v>0</v>
      </c>
      <c r="C151" s="115">
        <v>0</v>
      </c>
      <c r="D151" s="115">
        <f>B155/12</f>
        <v>15416.666666666666</v>
      </c>
      <c r="E151" s="115">
        <f>C155/6</f>
        <v>26648.958333333332</v>
      </c>
      <c r="F151" s="115">
        <f t="shared" si="8"/>
        <v>42065.625</v>
      </c>
      <c r="G151" s="115"/>
      <c r="H151" s="115">
        <f t="shared" si="9"/>
        <v>487.5</v>
      </c>
      <c r="I151" s="115">
        <f t="shared" si="10"/>
        <v>42553.125</v>
      </c>
      <c r="K151" s="116">
        <f t="shared" si="11"/>
        <v>5850000</v>
      </c>
    </row>
    <row r="152" spans="1:11" s="117" customFormat="1" ht="15" x14ac:dyDescent="0.25">
      <c r="A152" s="114">
        <v>44652</v>
      </c>
      <c r="B152" s="115">
        <v>0</v>
      </c>
      <c r="C152" s="115">
        <v>0</v>
      </c>
      <c r="D152" s="115">
        <f>B155/12</f>
        <v>15416.666666666666</v>
      </c>
      <c r="E152" s="115">
        <f>C155/6</f>
        <v>26648.958333333332</v>
      </c>
      <c r="F152" s="115">
        <f t="shared" si="8"/>
        <v>42065.625</v>
      </c>
      <c r="G152" s="115"/>
      <c r="H152" s="115">
        <f t="shared" si="9"/>
        <v>487.5</v>
      </c>
      <c r="I152" s="115">
        <f t="shared" si="10"/>
        <v>42553.125</v>
      </c>
      <c r="K152" s="116">
        <f t="shared" si="11"/>
        <v>5850000</v>
      </c>
    </row>
    <row r="153" spans="1:11" s="117" customFormat="1" ht="15" x14ac:dyDescent="0.25">
      <c r="A153" s="114">
        <v>44682</v>
      </c>
      <c r="B153" s="115">
        <v>0</v>
      </c>
      <c r="C153" s="115">
        <v>0</v>
      </c>
      <c r="D153" s="115">
        <f>B155/12</f>
        <v>15416.666666666666</v>
      </c>
      <c r="E153" s="115">
        <f>C155/6</f>
        <v>26648.958333333332</v>
      </c>
      <c r="F153" s="115">
        <f t="shared" si="8"/>
        <v>42065.625</v>
      </c>
      <c r="G153" s="115"/>
      <c r="H153" s="115">
        <f t="shared" si="9"/>
        <v>487.5</v>
      </c>
      <c r="I153" s="115">
        <f t="shared" si="10"/>
        <v>42553.125</v>
      </c>
      <c r="K153" s="116">
        <f t="shared" si="11"/>
        <v>5850000</v>
      </c>
    </row>
    <row r="154" spans="1:11" s="117" customFormat="1" ht="15" x14ac:dyDescent="0.25">
      <c r="A154" s="114">
        <v>44713</v>
      </c>
      <c r="B154" s="115">
        <v>0</v>
      </c>
      <c r="C154" s="115">
        <v>0</v>
      </c>
      <c r="D154" s="115">
        <f>B155/12</f>
        <v>15416.666666666666</v>
      </c>
      <c r="E154" s="115">
        <f>C155/6</f>
        <v>26648.958333333332</v>
      </c>
      <c r="F154" s="115">
        <f t="shared" si="8"/>
        <v>42065.625</v>
      </c>
      <c r="G154" s="115"/>
      <c r="H154" s="115">
        <f t="shared" si="9"/>
        <v>487.5</v>
      </c>
      <c r="I154" s="115">
        <f t="shared" si="10"/>
        <v>42553.125</v>
      </c>
      <c r="K154" s="116">
        <f t="shared" si="11"/>
        <v>5850000</v>
      </c>
    </row>
    <row r="155" spans="1:11" s="97" customFormat="1" ht="15" x14ac:dyDescent="0.25">
      <c r="A155" s="94">
        <v>44743</v>
      </c>
      <c r="B155" s="95">
        <v>185000</v>
      </c>
      <c r="C155" s="95">
        <v>159893.75</v>
      </c>
      <c r="D155" s="95">
        <f>B155/12</f>
        <v>15416.666666666666</v>
      </c>
      <c r="E155" s="95">
        <f>C155/6</f>
        <v>26648.958333333332</v>
      </c>
      <c r="F155" s="95">
        <f t="shared" si="8"/>
        <v>42065.625</v>
      </c>
      <c r="G155" s="95"/>
      <c r="H155" s="95">
        <f t="shared" si="9"/>
        <v>472.08333333333331</v>
      </c>
      <c r="I155" s="95">
        <f t="shared" si="10"/>
        <v>42537.708333333336</v>
      </c>
      <c r="J155" s="95">
        <f>SUM(F144:F155)</f>
        <v>504787.5</v>
      </c>
      <c r="K155" s="96">
        <f t="shared" si="11"/>
        <v>5850000</v>
      </c>
    </row>
    <row r="156" spans="1:11" s="97" customFormat="1" ht="15" x14ac:dyDescent="0.25">
      <c r="A156" s="94">
        <v>44774</v>
      </c>
      <c r="B156" s="95">
        <v>0</v>
      </c>
      <c r="C156" s="95">
        <v>0</v>
      </c>
      <c r="D156" s="95">
        <f>B167/12</f>
        <v>16250</v>
      </c>
      <c r="E156" s="95">
        <f>C161/6</f>
        <v>25839.583333333332</v>
      </c>
      <c r="F156" s="95">
        <f t="shared" si="8"/>
        <v>42089.583333333328</v>
      </c>
      <c r="G156" s="95"/>
      <c r="H156" s="95">
        <f t="shared" si="9"/>
        <v>472.08333333333331</v>
      </c>
      <c r="I156" s="95">
        <f t="shared" si="10"/>
        <v>42561.666666666664</v>
      </c>
      <c r="K156" s="96">
        <f t="shared" si="11"/>
        <v>5665000</v>
      </c>
    </row>
    <row r="157" spans="1:11" s="97" customFormat="1" ht="15" x14ac:dyDescent="0.25">
      <c r="A157" s="94">
        <v>44805</v>
      </c>
      <c r="B157" s="95">
        <v>0</v>
      </c>
      <c r="C157" s="95">
        <v>0</v>
      </c>
      <c r="D157" s="95">
        <f>B167/12</f>
        <v>16250</v>
      </c>
      <c r="E157" s="95">
        <f>C161/6</f>
        <v>25839.583333333332</v>
      </c>
      <c r="F157" s="95">
        <f t="shared" si="8"/>
        <v>42089.583333333328</v>
      </c>
      <c r="G157" s="95"/>
      <c r="H157" s="95">
        <f t="shared" si="9"/>
        <v>472.08333333333331</v>
      </c>
      <c r="I157" s="95">
        <f t="shared" si="10"/>
        <v>42561.666666666664</v>
      </c>
      <c r="K157" s="96">
        <f t="shared" si="11"/>
        <v>5665000</v>
      </c>
    </row>
    <row r="158" spans="1:11" s="97" customFormat="1" ht="15" x14ac:dyDescent="0.25">
      <c r="A158" s="94">
        <v>44835</v>
      </c>
      <c r="B158" s="95">
        <v>0</v>
      </c>
      <c r="C158" s="95">
        <v>0</v>
      </c>
      <c r="D158" s="95">
        <f>B167/12</f>
        <v>16250</v>
      </c>
      <c r="E158" s="95">
        <f>C161/6</f>
        <v>25839.583333333332</v>
      </c>
      <c r="F158" s="95">
        <f t="shared" si="8"/>
        <v>42089.583333333328</v>
      </c>
      <c r="G158" s="95"/>
      <c r="H158" s="95">
        <f t="shared" si="9"/>
        <v>472.08333333333331</v>
      </c>
      <c r="I158" s="95">
        <f t="shared" si="10"/>
        <v>42561.666666666664</v>
      </c>
      <c r="K158" s="96">
        <f t="shared" si="11"/>
        <v>5665000</v>
      </c>
    </row>
    <row r="159" spans="1:11" s="97" customFormat="1" ht="15" x14ac:dyDescent="0.25">
      <c r="A159" s="94">
        <v>44866</v>
      </c>
      <c r="B159" s="95">
        <v>0</v>
      </c>
      <c r="C159" s="95">
        <v>0</v>
      </c>
      <c r="D159" s="95">
        <f>B167/12</f>
        <v>16250</v>
      </c>
      <c r="E159" s="95">
        <f>C161/6</f>
        <v>25839.583333333332</v>
      </c>
      <c r="F159" s="95">
        <f t="shared" si="8"/>
        <v>42089.583333333328</v>
      </c>
      <c r="G159" s="95"/>
      <c r="H159" s="95">
        <f t="shared" si="9"/>
        <v>472.08333333333331</v>
      </c>
      <c r="I159" s="95">
        <f t="shared" si="10"/>
        <v>42561.666666666664</v>
      </c>
      <c r="K159" s="96">
        <f t="shared" si="11"/>
        <v>5665000</v>
      </c>
    </row>
    <row r="160" spans="1:11" s="97" customFormat="1" ht="15" x14ac:dyDescent="0.25">
      <c r="A160" s="94">
        <v>44896</v>
      </c>
      <c r="B160" s="95">
        <v>0</v>
      </c>
      <c r="C160" s="95">
        <v>0</v>
      </c>
      <c r="D160" s="95">
        <f>B167/12</f>
        <v>16250</v>
      </c>
      <c r="E160" s="95">
        <f>C161/6</f>
        <v>25839.583333333332</v>
      </c>
      <c r="F160" s="95">
        <f t="shared" si="8"/>
        <v>42089.583333333328</v>
      </c>
      <c r="G160" s="95"/>
      <c r="H160" s="95">
        <f t="shared" si="9"/>
        <v>472.08333333333331</v>
      </c>
      <c r="I160" s="95">
        <f t="shared" si="10"/>
        <v>42561.666666666664</v>
      </c>
      <c r="K160" s="96">
        <f t="shared" si="11"/>
        <v>5665000</v>
      </c>
    </row>
    <row r="161" spans="1:11" s="97" customFormat="1" ht="15" x14ac:dyDescent="0.25">
      <c r="A161" s="94">
        <v>44927</v>
      </c>
      <c r="B161" s="95">
        <v>0</v>
      </c>
      <c r="C161" s="95">
        <v>155037.5</v>
      </c>
      <c r="D161" s="95">
        <f>B167/12</f>
        <v>16250</v>
      </c>
      <c r="E161" s="95">
        <f>C161/6</f>
        <v>25839.583333333332</v>
      </c>
      <c r="F161" s="95">
        <f>D161+E161</f>
        <v>42089.583333333328</v>
      </c>
      <c r="G161" s="95"/>
      <c r="H161" s="95">
        <f t="shared" si="9"/>
        <v>472.08333333333331</v>
      </c>
      <c r="I161" s="95">
        <f t="shared" si="10"/>
        <v>42561.666666666664</v>
      </c>
      <c r="K161" s="96">
        <f t="shared" si="11"/>
        <v>5665000</v>
      </c>
    </row>
    <row r="162" spans="1:11" s="97" customFormat="1" ht="15" x14ac:dyDescent="0.25">
      <c r="A162" s="94">
        <v>44958</v>
      </c>
      <c r="B162" s="95">
        <v>0</v>
      </c>
      <c r="C162" s="95">
        <v>0</v>
      </c>
      <c r="D162" s="95">
        <f>B167/12</f>
        <v>16250</v>
      </c>
      <c r="E162" s="95">
        <f>C167/6</f>
        <v>25839.583333333332</v>
      </c>
      <c r="F162" s="95">
        <f t="shared" si="8"/>
        <v>42089.583333333328</v>
      </c>
      <c r="G162" s="95"/>
      <c r="H162" s="95">
        <f t="shared" si="9"/>
        <v>472.08333333333331</v>
      </c>
      <c r="I162" s="95">
        <f t="shared" si="10"/>
        <v>42561.666666666664</v>
      </c>
      <c r="K162" s="96">
        <f t="shared" si="11"/>
        <v>5665000</v>
      </c>
    </row>
    <row r="163" spans="1:11" s="97" customFormat="1" ht="15" x14ac:dyDescent="0.25">
      <c r="A163" s="94">
        <v>44986</v>
      </c>
      <c r="B163" s="95">
        <v>0</v>
      </c>
      <c r="C163" s="95">
        <v>0</v>
      </c>
      <c r="D163" s="95">
        <f>B167/12</f>
        <v>16250</v>
      </c>
      <c r="E163" s="95">
        <f>C167/6</f>
        <v>25839.583333333332</v>
      </c>
      <c r="F163" s="95">
        <f t="shared" si="8"/>
        <v>42089.583333333328</v>
      </c>
      <c r="G163" s="95"/>
      <c r="H163" s="95">
        <f t="shared" si="9"/>
        <v>472.08333333333331</v>
      </c>
      <c r="I163" s="95">
        <f t="shared" si="10"/>
        <v>42561.666666666664</v>
      </c>
      <c r="K163" s="96">
        <f t="shared" si="11"/>
        <v>5665000</v>
      </c>
    </row>
    <row r="164" spans="1:11" s="97" customFormat="1" ht="15" x14ac:dyDescent="0.25">
      <c r="A164" s="94">
        <v>45017</v>
      </c>
      <c r="B164" s="95">
        <v>0</v>
      </c>
      <c r="C164" s="95">
        <v>0</v>
      </c>
      <c r="D164" s="95">
        <f>B167/12</f>
        <v>16250</v>
      </c>
      <c r="E164" s="95">
        <f>C167/6</f>
        <v>25839.583333333332</v>
      </c>
      <c r="F164" s="95">
        <f t="shared" si="8"/>
        <v>42089.583333333328</v>
      </c>
      <c r="G164" s="95"/>
      <c r="H164" s="95">
        <f t="shared" si="9"/>
        <v>472.08333333333331</v>
      </c>
      <c r="I164" s="95">
        <f t="shared" si="10"/>
        <v>42561.666666666664</v>
      </c>
      <c r="K164" s="96">
        <f t="shared" si="11"/>
        <v>5665000</v>
      </c>
    </row>
    <row r="165" spans="1:11" s="97" customFormat="1" ht="15" x14ac:dyDescent="0.25">
      <c r="A165" s="94">
        <v>45047</v>
      </c>
      <c r="B165" s="95">
        <v>0</v>
      </c>
      <c r="C165" s="95">
        <v>0</v>
      </c>
      <c r="D165" s="95">
        <f>B167/12</f>
        <v>16250</v>
      </c>
      <c r="E165" s="95">
        <f>C167/6</f>
        <v>25839.583333333332</v>
      </c>
      <c r="F165" s="95">
        <f t="shared" si="8"/>
        <v>42089.583333333328</v>
      </c>
      <c r="G165" s="95"/>
      <c r="H165" s="95">
        <f t="shared" si="9"/>
        <v>472.08333333333331</v>
      </c>
      <c r="I165" s="95">
        <f t="shared" si="10"/>
        <v>42561.666666666664</v>
      </c>
      <c r="K165" s="96">
        <f t="shared" si="11"/>
        <v>5665000</v>
      </c>
    </row>
    <row r="166" spans="1:11" s="97" customFormat="1" ht="15" x14ac:dyDescent="0.25">
      <c r="A166" s="94">
        <v>45078</v>
      </c>
      <c r="B166" s="95">
        <v>0</v>
      </c>
      <c r="C166" s="95">
        <v>0</v>
      </c>
      <c r="D166" s="95">
        <f>B167/12</f>
        <v>16250</v>
      </c>
      <c r="E166" s="95">
        <f>C167/6</f>
        <v>25839.583333333332</v>
      </c>
      <c r="F166" s="95">
        <f t="shared" si="8"/>
        <v>42089.583333333328</v>
      </c>
      <c r="G166" s="95"/>
      <c r="H166" s="95">
        <f t="shared" si="9"/>
        <v>472.08333333333331</v>
      </c>
      <c r="I166" s="95">
        <f t="shared" si="10"/>
        <v>42561.666666666664</v>
      </c>
      <c r="K166" s="96">
        <f t="shared" si="11"/>
        <v>5665000</v>
      </c>
    </row>
    <row r="167" spans="1:11" ht="15" x14ac:dyDescent="0.25">
      <c r="A167" s="89">
        <v>45108</v>
      </c>
      <c r="B167" s="90">
        <v>195000</v>
      </c>
      <c r="C167" s="90">
        <v>155037.5</v>
      </c>
      <c r="D167" s="90">
        <f>B167/12</f>
        <v>16250</v>
      </c>
      <c r="E167" s="90">
        <f>C167/6</f>
        <v>25839.583333333332</v>
      </c>
      <c r="F167" s="91">
        <f t="shared" si="8"/>
        <v>42089.583333333328</v>
      </c>
      <c r="G167" s="91"/>
      <c r="H167" s="91">
        <f t="shared" si="9"/>
        <v>455.83333333333331</v>
      </c>
      <c r="I167" s="91">
        <f t="shared" si="10"/>
        <v>42545.416666666664</v>
      </c>
      <c r="J167" s="90">
        <f>SUM(F156:F167)</f>
        <v>505074.99999999983</v>
      </c>
      <c r="K167" s="92">
        <f t="shared" si="11"/>
        <v>5665000</v>
      </c>
    </row>
    <row r="168" spans="1:11" ht="15" x14ac:dyDescent="0.25">
      <c r="A168" s="89">
        <v>45139</v>
      </c>
      <c r="B168" s="90">
        <v>0</v>
      </c>
      <c r="C168" s="90">
        <v>0</v>
      </c>
      <c r="D168" s="90">
        <f>B179/12</f>
        <v>17083.333333333332</v>
      </c>
      <c r="E168" s="90">
        <f>C173/6</f>
        <v>24986.458333333332</v>
      </c>
      <c r="F168" s="91">
        <f t="shared" si="8"/>
        <v>42069.791666666664</v>
      </c>
      <c r="G168" s="91"/>
      <c r="H168" s="91">
        <f t="shared" si="9"/>
        <v>455.83333333333331</v>
      </c>
      <c r="I168" s="91">
        <f t="shared" si="10"/>
        <v>42525.625</v>
      </c>
      <c r="K168" s="92">
        <f t="shared" si="11"/>
        <v>5470000</v>
      </c>
    </row>
    <row r="169" spans="1:11" ht="15" x14ac:dyDescent="0.25">
      <c r="A169" s="89">
        <v>45170</v>
      </c>
      <c r="B169" s="90">
        <v>0</v>
      </c>
      <c r="C169" s="90">
        <v>0</v>
      </c>
      <c r="D169" s="90">
        <f>B179/12</f>
        <v>17083.333333333332</v>
      </c>
      <c r="E169" s="90">
        <f>C173/6</f>
        <v>24986.458333333332</v>
      </c>
      <c r="F169" s="91">
        <f t="shared" si="8"/>
        <v>42069.791666666664</v>
      </c>
      <c r="G169" s="91"/>
      <c r="H169" s="91">
        <f t="shared" si="9"/>
        <v>455.83333333333331</v>
      </c>
      <c r="I169" s="91">
        <f t="shared" si="10"/>
        <v>42525.625</v>
      </c>
      <c r="K169" s="92">
        <f t="shared" si="11"/>
        <v>5470000</v>
      </c>
    </row>
    <row r="170" spans="1:11" ht="15" x14ac:dyDescent="0.25">
      <c r="A170" s="89">
        <v>45200</v>
      </c>
      <c r="B170" s="90">
        <v>0</v>
      </c>
      <c r="C170" s="90">
        <v>0</v>
      </c>
      <c r="D170" s="90">
        <f>B179/12</f>
        <v>17083.333333333332</v>
      </c>
      <c r="E170" s="90">
        <f>C173/6</f>
        <v>24986.458333333332</v>
      </c>
      <c r="F170" s="91">
        <f t="shared" si="8"/>
        <v>42069.791666666664</v>
      </c>
      <c r="G170" s="91"/>
      <c r="H170" s="91">
        <f t="shared" si="9"/>
        <v>455.83333333333331</v>
      </c>
      <c r="I170" s="91">
        <f t="shared" si="10"/>
        <v>42525.625</v>
      </c>
      <c r="K170" s="92">
        <f t="shared" si="11"/>
        <v>5470000</v>
      </c>
    </row>
    <row r="171" spans="1:11" ht="15" x14ac:dyDescent="0.25">
      <c r="A171" s="89">
        <v>45231</v>
      </c>
      <c r="B171" s="90">
        <v>0</v>
      </c>
      <c r="C171" s="90">
        <v>0</v>
      </c>
      <c r="D171" s="90">
        <f>B179/12</f>
        <v>17083.333333333332</v>
      </c>
      <c r="E171" s="90">
        <f>C173/6</f>
        <v>24986.458333333332</v>
      </c>
      <c r="F171" s="91">
        <f t="shared" si="8"/>
        <v>42069.791666666664</v>
      </c>
      <c r="G171" s="91"/>
      <c r="H171" s="91">
        <f t="shared" si="9"/>
        <v>455.83333333333331</v>
      </c>
      <c r="I171" s="91">
        <f t="shared" si="10"/>
        <v>42525.625</v>
      </c>
      <c r="K171" s="92">
        <f t="shared" si="11"/>
        <v>5470000</v>
      </c>
    </row>
    <row r="172" spans="1:11" ht="15" x14ac:dyDescent="0.25">
      <c r="A172" s="89">
        <v>45261</v>
      </c>
      <c r="B172" s="90">
        <v>0</v>
      </c>
      <c r="C172" s="90">
        <v>0</v>
      </c>
      <c r="D172" s="90">
        <f>B179/12</f>
        <v>17083.333333333332</v>
      </c>
      <c r="E172" s="90">
        <f>C173/6</f>
        <v>24986.458333333332</v>
      </c>
      <c r="F172" s="91">
        <f t="shared" si="8"/>
        <v>42069.791666666664</v>
      </c>
      <c r="G172" s="91"/>
      <c r="H172" s="91">
        <f t="shared" si="9"/>
        <v>455.83333333333331</v>
      </c>
      <c r="I172" s="91">
        <f t="shared" si="10"/>
        <v>42525.625</v>
      </c>
      <c r="K172" s="92">
        <f t="shared" si="11"/>
        <v>5470000</v>
      </c>
    </row>
    <row r="173" spans="1:11" ht="15" x14ac:dyDescent="0.25">
      <c r="A173" s="89">
        <v>45292</v>
      </c>
      <c r="B173" s="90">
        <v>0</v>
      </c>
      <c r="C173" s="90">
        <v>149918.75</v>
      </c>
      <c r="D173" s="90">
        <f>B179/12</f>
        <v>17083.333333333332</v>
      </c>
      <c r="E173" s="90">
        <f>C173/6</f>
        <v>24986.458333333332</v>
      </c>
      <c r="F173" s="91">
        <f t="shared" si="8"/>
        <v>42069.791666666664</v>
      </c>
      <c r="G173" s="91"/>
      <c r="H173" s="91">
        <f t="shared" si="9"/>
        <v>455.83333333333331</v>
      </c>
      <c r="I173" s="91">
        <f t="shared" si="10"/>
        <v>42525.625</v>
      </c>
      <c r="K173" s="92">
        <f t="shared" si="11"/>
        <v>5470000</v>
      </c>
    </row>
    <row r="174" spans="1:11" ht="15" x14ac:dyDescent="0.25">
      <c r="A174" s="89">
        <v>45323</v>
      </c>
      <c r="B174" s="90">
        <v>0</v>
      </c>
      <c r="C174" s="90">
        <v>0</v>
      </c>
      <c r="D174" s="90">
        <f>B179/12</f>
        <v>17083.333333333332</v>
      </c>
      <c r="E174" s="90">
        <f>C179/6</f>
        <v>24986.458333333332</v>
      </c>
      <c r="F174" s="91">
        <f t="shared" si="8"/>
        <v>42069.791666666664</v>
      </c>
      <c r="G174" s="91"/>
      <c r="H174" s="91">
        <f t="shared" si="9"/>
        <v>455.83333333333331</v>
      </c>
      <c r="I174" s="91">
        <f t="shared" si="10"/>
        <v>42525.625</v>
      </c>
      <c r="J174" s="93"/>
      <c r="K174" s="92">
        <f t="shared" si="11"/>
        <v>5470000</v>
      </c>
    </row>
    <row r="175" spans="1:11" ht="15" x14ac:dyDescent="0.25">
      <c r="A175" s="89">
        <v>45352</v>
      </c>
      <c r="B175" s="90">
        <v>0</v>
      </c>
      <c r="C175" s="90">
        <v>0</v>
      </c>
      <c r="D175" s="90">
        <f>B179/12</f>
        <v>17083.333333333332</v>
      </c>
      <c r="E175" s="90">
        <f>C179/6</f>
        <v>24986.458333333332</v>
      </c>
      <c r="F175" s="91">
        <f t="shared" si="8"/>
        <v>42069.791666666664</v>
      </c>
      <c r="G175" s="91"/>
      <c r="H175" s="91">
        <f t="shared" si="9"/>
        <v>455.83333333333331</v>
      </c>
      <c r="I175" s="91">
        <f t="shared" si="10"/>
        <v>42525.625</v>
      </c>
      <c r="K175" s="92">
        <f t="shared" si="11"/>
        <v>5470000</v>
      </c>
    </row>
    <row r="176" spans="1:11" ht="15" x14ac:dyDescent="0.25">
      <c r="A176" s="89">
        <v>45383</v>
      </c>
      <c r="B176" s="90">
        <v>0</v>
      </c>
      <c r="C176" s="90">
        <v>0</v>
      </c>
      <c r="D176" s="90">
        <f>B179/12</f>
        <v>17083.333333333332</v>
      </c>
      <c r="E176" s="90">
        <f>C179/6</f>
        <v>24986.458333333332</v>
      </c>
      <c r="F176" s="91">
        <f t="shared" si="8"/>
        <v>42069.791666666664</v>
      </c>
      <c r="G176" s="91"/>
      <c r="H176" s="91">
        <f t="shared" si="9"/>
        <v>455.83333333333331</v>
      </c>
      <c r="I176" s="91">
        <f t="shared" si="10"/>
        <v>42525.625</v>
      </c>
      <c r="K176" s="92">
        <f t="shared" si="11"/>
        <v>5470000</v>
      </c>
    </row>
    <row r="177" spans="1:11" ht="15" x14ac:dyDescent="0.25">
      <c r="A177" s="89">
        <v>45413</v>
      </c>
      <c r="B177" s="90">
        <v>0</v>
      </c>
      <c r="C177" s="90">
        <v>0</v>
      </c>
      <c r="D177" s="90">
        <f>B179/12</f>
        <v>17083.333333333332</v>
      </c>
      <c r="E177" s="90">
        <f>C179/6</f>
        <v>24986.458333333332</v>
      </c>
      <c r="F177" s="91">
        <f t="shared" si="8"/>
        <v>42069.791666666664</v>
      </c>
      <c r="G177" s="91"/>
      <c r="H177" s="91">
        <f t="shared" si="9"/>
        <v>455.83333333333331</v>
      </c>
      <c r="I177" s="91">
        <f t="shared" si="10"/>
        <v>42525.625</v>
      </c>
      <c r="K177" s="92">
        <f t="shared" si="11"/>
        <v>5470000</v>
      </c>
    </row>
    <row r="178" spans="1:11" ht="15" x14ac:dyDescent="0.25">
      <c r="A178" s="89">
        <v>45444</v>
      </c>
      <c r="B178" s="90">
        <v>0</v>
      </c>
      <c r="C178" s="90">
        <v>0</v>
      </c>
      <c r="D178" s="90">
        <f>B179/12</f>
        <v>17083.333333333332</v>
      </c>
      <c r="E178" s="90">
        <f>C179/6</f>
        <v>24986.458333333332</v>
      </c>
      <c r="F178" s="91">
        <f t="shared" si="8"/>
        <v>42069.791666666664</v>
      </c>
      <c r="G178" s="91"/>
      <c r="H178" s="91">
        <f t="shared" si="9"/>
        <v>455.83333333333331</v>
      </c>
      <c r="I178" s="91">
        <f t="shared" si="10"/>
        <v>42525.625</v>
      </c>
      <c r="K178" s="92">
        <f t="shared" si="11"/>
        <v>5470000</v>
      </c>
    </row>
    <row r="179" spans="1:11" ht="15" x14ac:dyDescent="0.25">
      <c r="A179" s="89">
        <v>45474</v>
      </c>
      <c r="B179" s="90">
        <v>205000</v>
      </c>
      <c r="C179" s="90">
        <v>149918.75</v>
      </c>
      <c r="D179" s="90">
        <f>B179/12</f>
        <v>17083.333333333332</v>
      </c>
      <c r="E179" s="90">
        <f>C179/6</f>
        <v>24986.458333333332</v>
      </c>
      <c r="F179" s="91">
        <f t="shared" si="8"/>
        <v>42069.791666666664</v>
      </c>
      <c r="G179" s="91"/>
      <c r="H179" s="91">
        <f t="shared" si="9"/>
        <v>438.75</v>
      </c>
      <c r="I179" s="91">
        <f t="shared" si="10"/>
        <v>42508.541666666664</v>
      </c>
      <c r="J179" s="90">
        <f>SUM(F168:F179)</f>
        <v>504837.50000000006</v>
      </c>
      <c r="K179" s="92">
        <f t="shared" si="11"/>
        <v>5470000</v>
      </c>
    </row>
    <row r="180" spans="1:11" ht="15" x14ac:dyDescent="0.25">
      <c r="A180" s="89">
        <v>45505</v>
      </c>
      <c r="B180" s="90">
        <v>0</v>
      </c>
      <c r="C180" s="90">
        <v>0</v>
      </c>
      <c r="D180" s="90">
        <f>B191/12</f>
        <v>17916.666666666668</v>
      </c>
      <c r="E180" s="90">
        <f>C185/6</f>
        <v>24089.583333333332</v>
      </c>
      <c r="F180" s="91">
        <f t="shared" si="8"/>
        <v>42006.25</v>
      </c>
      <c r="G180" s="91"/>
      <c r="H180" s="91">
        <f t="shared" si="9"/>
        <v>438.75</v>
      </c>
      <c r="I180" s="91">
        <f t="shared" si="10"/>
        <v>42445</v>
      </c>
      <c r="K180" s="92">
        <f t="shared" si="11"/>
        <v>5265000</v>
      </c>
    </row>
    <row r="181" spans="1:11" ht="15" x14ac:dyDescent="0.25">
      <c r="A181" s="89">
        <v>45536</v>
      </c>
      <c r="B181" s="90">
        <v>0</v>
      </c>
      <c r="C181" s="90">
        <v>0</v>
      </c>
      <c r="D181" s="90">
        <f>B191/12</f>
        <v>17916.666666666668</v>
      </c>
      <c r="E181" s="90">
        <f>C185/6</f>
        <v>24089.583333333332</v>
      </c>
      <c r="F181" s="91">
        <f t="shared" si="8"/>
        <v>42006.25</v>
      </c>
      <c r="G181" s="91"/>
      <c r="H181" s="91">
        <f t="shared" si="9"/>
        <v>438.75</v>
      </c>
      <c r="I181" s="91">
        <f t="shared" si="10"/>
        <v>42445</v>
      </c>
      <c r="K181" s="92">
        <f t="shared" si="11"/>
        <v>5265000</v>
      </c>
    </row>
    <row r="182" spans="1:11" ht="15" x14ac:dyDescent="0.25">
      <c r="A182" s="89">
        <v>45566</v>
      </c>
      <c r="B182" s="90">
        <v>0</v>
      </c>
      <c r="C182" s="90">
        <v>0</v>
      </c>
      <c r="D182" s="90">
        <f>B191/12</f>
        <v>17916.666666666668</v>
      </c>
      <c r="E182" s="90">
        <f>C185/6</f>
        <v>24089.583333333332</v>
      </c>
      <c r="F182" s="91">
        <f t="shared" si="8"/>
        <v>42006.25</v>
      </c>
      <c r="G182" s="91"/>
      <c r="H182" s="91">
        <f t="shared" si="9"/>
        <v>438.75</v>
      </c>
      <c r="I182" s="91">
        <f t="shared" si="10"/>
        <v>42445</v>
      </c>
      <c r="K182" s="92">
        <f t="shared" si="11"/>
        <v>5265000</v>
      </c>
    </row>
    <row r="183" spans="1:11" ht="15" x14ac:dyDescent="0.25">
      <c r="A183" s="89">
        <v>45597</v>
      </c>
      <c r="B183" s="90">
        <v>0</v>
      </c>
      <c r="C183" s="90">
        <v>0</v>
      </c>
      <c r="D183" s="90">
        <f>B191/12</f>
        <v>17916.666666666668</v>
      </c>
      <c r="E183" s="90">
        <f>C185/6</f>
        <v>24089.583333333332</v>
      </c>
      <c r="F183" s="91">
        <f t="shared" si="8"/>
        <v>42006.25</v>
      </c>
      <c r="G183" s="91"/>
      <c r="H183" s="91">
        <f t="shared" si="9"/>
        <v>438.75</v>
      </c>
      <c r="I183" s="91">
        <f t="shared" si="10"/>
        <v>42445</v>
      </c>
      <c r="K183" s="92">
        <f t="shared" si="11"/>
        <v>5265000</v>
      </c>
    </row>
    <row r="184" spans="1:11" ht="15" x14ac:dyDescent="0.25">
      <c r="A184" s="89">
        <v>45627</v>
      </c>
      <c r="B184" s="90">
        <v>0</v>
      </c>
      <c r="C184" s="90">
        <v>0</v>
      </c>
      <c r="D184" s="90">
        <f>B191/12</f>
        <v>17916.666666666668</v>
      </c>
      <c r="E184" s="90">
        <f>C185/6</f>
        <v>24089.583333333332</v>
      </c>
      <c r="F184" s="91">
        <f t="shared" si="8"/>
        <v>42006.25</v>
      </c>
      <c r="G184" s="91"/>
      <c r="H184" s="91">
        <f t="shared" si="9"/>
        <v>438.75</v>
      </c>
      <c r="I184" s="91">
        <f t="shared" si="10"/>
        <v>42445</v>
      </c>
      <c r="K184" s="92">
        <f t="shared" si="11"/>
        <v>5265000</v>
      </c>
    </row>
    <row r="185" spans="1:11" ht="15" x14ac:dyDescent="0.25">
      <c r="A185" s="89">
        <v>45658</v>
      </c>
      <c r="B185" s="90">
        <v>0</v>
      </c>
      <c r="C185" s="90">
        <v>144537.5</v>
      </c>
      <c r="D185" s="90">
        <f>B191/12</f>
        <v>17916.666666666668</v>
      </c>
      <c r="E185" s="90">
        <f>C185/6</f>
        <v>24089.583333333332</v>
      </c>
      <c r="F185" s="91">
        <f t="shared" si="8"/>
        <v>42006.25</v>
      </c>
      <c r="G185" s="91"/>
      <c r="H185" s="91">
        <f t="shared" si="9"/>
        <v>438.75</v>
      </c>
      <c r="I185" s="91">
        <f t="shared" si="10"/>
        <v>42445</v>
      </c>
      <c r="K185" s="92">
        <f t="shared" si="11"/>
        <v>5265000</v>
      </c>
    </row>
    <row r="186" spans="1:11" ht="15" x14ac:dyDescent="0.25">
      <c r="A186" s="89">
        <v>45689</v>
      </c>
      <c r="B186" s="90">
        <v>0</v>
      </c>
      <c r="C186" s="90">
        <v>0</v>
      </c>
      <c r="D186" s="90">
        <f>B191/12</f>
        <v>17916.666666666668</v>
      </c>
      <c r="E186" s="90">
        <f>C191/6</f>
        <v>24089.583333333332</v>
      </c>
      <c r="F186" s="91">
        <f t="shared" si="8"/>
        <v>42006.25</v>
      </c>
      <c r="G186" s="91"/>
      <c r="H186" s="91">
        <f t="shared" si="9"/>
        <v>438.75</v>
      </c>
      <c r="I186" s="91">
        <f t="shared" si="10"/>
        <v>42445</v>
      </c>
      <c r="K186" s="92">
        <f t="shared" si="11"/>
        <v>5265000</v>
      </c>
    </row>
    <row r="187" spans="1:11" ht="15" x14ac:dyDescent="0.25">
      <c r="A187" s="89">
        <v>45717</v>
      </c>
      <c r="B187" s="90">
        <v>0</v>
      </c>
      <c r="C187" s="90">
        <v>0</v>
      </c>
      <c r="D187" s="90">
        <f>B191/12</f>
        <v>17916.666666666668</v>
      </c>
      <c r="E187" s="90">
        <f>C191/6</f>
        <v>24089.583333333332</v>
      </c>
      <c r="F187" s="91">
        <f t="shared" si="8"/>
        <v>42006.25</v>
      </c>
      <c r="G187" s="91"/>
      <c r="H187" s="91">
        <f t="shared" si="9"/>
        <v>438.75</v>
      </c>
      <c r="I187" s="91">
        <f t="shared" si="10"/>
        <v>42445</v>
      </c>
      <c r="K187" s="92">
        <f t="shared" si="11"/>
        <v>5265000</v>
      </c>
    </row>
    <row r="188" spans="1:11" ht="15" x14ac:dyDescent="0.25">
      <c r="A188" s="89">
        <v>45748</v>
      </c>
      <c r="B188" s="90">
        <v>0</v>
      </c>
      <c r="C188" s="90">
        <v>0</v>
      </c>
      <c r="D188" s="90">
        <f>B191/12</f>
        <v>17916.666666666668</v>
      </c>
      <c r="E188" s="90">
        <f>C191/6</f>
        <v>24089.583333333332</v>
      </c>
      <c r="F188" s="91">
        <f t="shared" si="8"/>
        <v>42006.25</v>
      </c>
      <c r="G188" s="91"/>
      <c r="H188" s="91">
        <f t="shared" si="9"/>
        <v>438.75</v>
      </c>
      <c r="I188" s="91">
        <f t="shared" si="10"/>
        <v>42445</v>
      </c>
      <c r="K188" s="92">
        <f t="shared" si="11"/>
        <v>5265000</v>
      </c>
    </row>
    <row r="189" spans="1:11" ht="15" x14ac:dyDescent="0.25">
      <c r="A189" s="89">
        <v>45778</v>
      </c>
      <c r="B189" s="90">
        <v>0</v>
      </c>
      <c r="C189" s="90">
        <v>0</v>
      </c>
      <c r="D189" s="90">
        <f>B191/12</f>
        <v>17916.666666666668</v>
      </c>
      <c r="E189" s="90">
        <f>C191/6</f>
        <v>24089.583333333332</v>
      </c>
      <c r="F189" s="91">
        <f t="shared" si="8"/>
        <v>42006.25</v>
      </c>
      <c r="G189" s="91"/>
      <c r="H189" s="91">
        <f t="shared" si="9"/>
        <v>438.75</v>
      </c>
      <c r="I189" s="91">
        <f t="shared" si="10"/>
        <v>42445</v>
      </c>
      <c r="K189" s="92">
        <f t="shared" si="11"/>
        <v>5265000</v>
      </c>
    </row>
    <row r="190" spans="1:11" ht="15" x14ac:dyDescent="0.25">
      <c r="A190" s="89">
        <v>45809</v>
      </c>
      <c r="B190" s="90">
        <v>0</v>
      </c>
      <c r="C190" s="90">
        <v>0</v>
      </c>
      <c r="D190" s="90">
        <f>B191/12</f>
        <v>17916.666666666668</v>
      </c>
      <c r="E190" s="90">
        <f>C191/6</f>
        <v>24089.583333333332</v>
      </c>
      <c r="F190" s="91">
        <f t="shared" si="8"/>
        <v>42006.25</v>
      </c>
      <c r="G190" s="91"/>
      <c r="H190" s="91">
        <f t="shared" si="9"/>
        <v>438.75</v>
      </c>
      <c r="I190" s="91">
        <f t="shared" si="10"/>
        <v>42445</v>
      </c>
      <c r="K190" s="92">
        <f t="shared" si="11"/>
        <v>5265000</v>
      </c>
    </row>
    <row r="191" spans="1:11" ht="15" x14ac:dyDescent="0.25">
      <c r="A191" s="89">
        <v>45839</v>
      </c>
      <c r="B191" s="90">
        <v>215000</v>
      </c>
      <c r="C191" s="90">
        <v>144537.5</v>
      </c>
      <c r="D191" s="90">
        <f>B191/12</f>
        <v>17916.666666666668</v>
      </c>
      <c r="E191" s="90">
        <f>C191/6</f>
        <v>24089.583333333332</v>
      </c>
      <c r="F191" s="91">
        <f t="shared" si="8"/>
        <v>42006.25</v>
      </c>
      <c r="G191" s="91"/>
      <c r="H191" s="91">
        <f t="shared" si="9"/>
        <v>420.83333333333331</v>
      </c>
      <c r="I191" s="91">
        <f t="shared" si="10"/>
        <v>42427.083333333336</v>
      </c>
      <c r="J191" s="90">
        <f>SUM(F180:F191)</f>
        <v>504075</v>
      </c>
      <c r="K191" s="92">
        <f t="shared" si="11"/>
        <v>5265000</v>
      </c>
    </row>
    <row r="192" spans="1:11" ht="15" x14ac:dyDescent="0.25">
      <c r="A192" s="89">
        <v>45870</v>
      </c>
      <c r="B192" s="90">
        <v>0</v>
      </c>
      <c r="C192" s="90">
        <v>0</v>
      </c>
      <c r="D192" s="90">
        <f>B203/12</f>
        <v>18750</v>
      </c>
      <c r="E192" s="90">
        <f>C197/6</f>
        <v>23148.958333333332</v>
      </c>
      <c r="F192" s="91">
        <f t="shared" si="8"/>
        <v>41898.958333333328</v>
      </c>
      <c r="G192" s="91"/>
      <c r="H192" s="91">
        <f t="shared" si="9"/>
        <v>420.83333333333331</v>
      </c>
      <c r="I192" s="91">
        <f t="shared" si="10"/>
        <v>42319.791666666664</v>
      </c>
      <c r="K192" s="92">
        <f t="shared" si="11"/>
        <v>5050000</v>
      </c>
    </row>
    <row r="193" spans="1:11" ht="15" x14ac:dyDescent="0.25">
      <c r="A193" s="89">
        <v>45901</v>
      </c>
      <c r="B193" s="90">
        <v>0</v>
      </c>
      <c r="C193" s="90">
        <v>0</v>
      </c>
      <c r="D193" s="90">
        <f>B203/12</f>
        <v>18750</v>
      </c>
      <c r="E193" s="90">
        <f>C197/6</f>
        <v>23148.958333333332</v>
      </c>
      <c r="F193" s="91">
        <f t="shared" si="8"/>
        <v>41898.958333333328</v>
      </c>
      <c r="G193" s="91"/>
      <c r="H193" s="91">
        <f t="shared" si="9"/>
        <v>420.83333333333331</v>
      </c>
      <c r="I193" s="91">
        <f t="shared" si="10"/>
        <v>42319.791666666664</v>
      </c>
      <c r="K193" s="92">
        <f t="shared" si="11"/>
        <v>5050000</v>
      </c>
    </row>
    <row r="194" spans="1:11" ht="15" x14ac:dyDescent="0.25">
      <c r="A194" s="89">
        <v>45931</v>
      </c>
      <c r="B194" s="90">
        <v>0</v>
      </c>
      <c r="C194" s="90">
        <v>0</v>
      </c>
      <c r="D194" s="90">
        <f>B203/12</f>
        <v>18750</v>
      </c>
      <c r="E194" s="90">
        <f>C197/6</f>
        <v>23148.958333333332</v>
      </c>
      <c r="F194" s="91">
        <f t="shared" si="8"/>
        <v>41898.958333333328</v>
      </c>
      <c r="G194" s="91"/>
      <c r="H194" s="91">
        <f t="shared" si="9"/>
        <v>420.83333333333331</v>
      </c>
      <c r="I194" s="91">
        <f t="shared" si="10"/>
        <v>42319.791666666664</v>
      </c>
      <c r="K194" s="92">
        <f t="shared" si="11"/>
        <v>5050000</v>
      </c>
    </row>
    <row r="195" spans="1:11" ht="15" x14ac:dyDescent="0.25">
      <c r="A195" s="89">
        <v>45962</v>
      </c>
      <c r="B195" s="90">
        <v>0</v>
      </c>
      <c r="C195" s="90">
        <v>0</v>
      </c>
      <c r="D195" s="90">
        <f>B203/12</f>
        <v>18750</v>
      </c>
      <c r="E195" s="90">
        <f>C197/6</f>
        <v>23148.958333333332</v>
      </c>
      <c r="F195" s="91">
        <f t="shared" si="8"/>
        <v>41898.958333333328</v>
      </c>
      <c r="G195" s="91"/>
      <c r="H195" s="91">
        <f t="shared" si="9"/>
        <v>420.83333333333331</v>
      </c>
      <c r="I195" s="91">
        <f t="shared" si="10"/>
        <v>42319.791666666664</v>
      </c>
      <c r="K195" s="92">
        <f t="shared" si="11"/>
        <v>5050000</v>
      </c>
    </row>
    <row r="196" spans="1:11" ht="15" x14ac:dyDescent="0.25">
      <c r="A196" s="89">
        <v>45992</v>
      </c>
      <c r="B196" s="90">
        <v>0</v>
      </c>
      <c r="C196" s="90">
        <v>0</v>
      </c>
      <c r="D196" s="90">
        <f>B203/12</f>
        <v>18750</v>
      </c>
      <c r="E196" s="90">
        <f>C197/6</f>
        <v>23148.958333333332</v>
      </c>
      <c r="F196" s="91">
        <f t="shared" si="8"/>
        <v>41898.958333333328</v>
      </c>
      <c r="G196" s="91"/>
      <c r="H196" s="91">
        <f t="shared" si="9"/>
        <v>420.83333333333331</v>
      </c>
      <c r="I196" s="91">
        <f t="shared" si="10"/>
        <v>42319.791666666664</v>
      </c>
      <c r="K196" s="92">
        <f t="shared" si="11"/>
        <v>5050000</v>
      </c>
    </row>
    <row r="197" spans="1:11" ht="15" x14ac:dyDescent="0.25">
      <c r="A197" s="89">
        <v>46023</v>
      </c>
      <c r="B197" s="90">
        <v>0</v>
      </c>
      <c r="C197" s="90">
        <v>138893.75</v>
      </c>
      <c r="D197" s="90">
        <f>B203/12</f>
        <v>18750</v>
      </c>
      <c r="E197" s="90">
        <f>C197/6</f>
        <v>23148.958333333332</v>
      </c>
      <c r="F197" s="91">
        <f t="shared" si="8"/>
        <v>41898.958333333328</v>
      </c>
      <c r="G197" s="91"/>
      <c r="H197" s="91">
        <f t="shared" si="9"/>
        <v>420.83333333333331</v>
      </c>
      <c r="I197" s="91">
        <f t="shared" si="10"/>
        <v>42319.791666666664</v>
      </c>
      <c r="K197" s="92">
        <f t="shared" si="11"/>
        <v>5050000</v>
      </c>
    </row>
    <row r="198" spans="1:11" ht="15" x14ac:dyDescent="0.25">
      <c r="A198" s="89">
        <v>46054</v>
      </c>
      <c r="B198" s="90">
        <v>0</v>
      </c>
      <c r="C198" s="90">
        <v>0</v>
      </c>
      <c r="D198" s="90">
        <f>B203/12</f>
        <v>18750</v>
      </c>
      <c r="E198" s="90">
        <f>C203/6</f>
        <v>23148.958333333332</v>
      </c>
      <c r="F198" s="91">
        <f t="shared" si="8"/>
        <v>41898.958333333328</v>
      </c>
      <c r="G198" s="91"/>
      <c r="H198" s="91">
        <f t="shared" si="9"/>
        <v>420.83333333333331</v>
      </c>
      <c r="I198" s="91">
        <f t="shared" si="10"/>
        <v>42319.791666666664</v>
      </c>
      <c r="J198" s="93"/>
      <c r="K198" s="92">
        <f t="shared" si="11"/>
        <v>5050000</v>
      </c>
    </row>
    <row r="199" spans="1:11" ht="15" x14ac:dyDescent="0.25">
      <c r="A199" s="89">
        <v>46082</v>
      </c>
      <c r="B199" s="90">
        <v>0</v>
      </c>
      <c r="C199" s="90">
        <v>0</v>
      </c>
      <c r="D199" s="90">
        <f>B203/12</f>
        <v>18750</v>
      </c>
      <c r="E199" s="90">
        <f>C203/6</f>
        <v>23148.958333333332</v>
      </c>
      <c r="F199" s="91">
        <f t="shared" si="8"/>
        <v>41898.958333333328</v>
      </c>
      <c r="G199" s="91"/>
      <c r="H199" s="91">
        <f t="shared" si="9"/>
        <v>420.83333333333331</v>
      </c>
      <c r="I199" s="91">
        <f t="shared" si="10"/>
        <v>42319.791666666664</v>
      </c>
      <c r="K199" s="92">
        <f t="shared" si="11"/>
        <v>5050000</v>
      </c>
    </row>
    <row r="200" spans="1:11" ht="15" x14ac:dyDescent="0.25">
      <c r="A200" s="89">
        <v>46113</v>
      </c>
      <c r="B200" s="90">
        <v>0</v>
      </c>
      <c r="C200" s="90">
        <v>0</v>
      </c>
      <c r="D200" s="90">
        <f>B203/12</f>
        <v>18750</v>
      </c>
      <c r="E200" s="90">
        <f>C203/6</f>
        <v>23148.958333333332</v>
      </c>
      <c r="F200" s="91">
        <f t="shared" ref="F200:F263" si="12">D200+E200</f>
        <v>41898.958333333328</v>
      </c>
      <c r="G200" s="91"/>
      <c r="H200" s="91">
        <f t="shared" si="9"/>
        <v>420.83333333333331</v>
      </c>
      <c r="I200" s="91">
        <f t="shared" si="10"/>
        <v>42319.791666666664</v>
      </c>
      <c r="K200" s="92">
        <f t="shared" si="11"/>
        <v>5050000</v>
      </c>
    </row>
    <row r="201" spans="1:11" ht="15" x14ac:dyDescent="0.25">
      <c r="A201" s="89">
        <v>46143</v>
      </c>
      <c r="B201" s="90">
        <v>0</v>
      </c>
      <c r="C201" s="90">
        <v>0</v>
      </c>
      <c r="D201" s="90">
        <f>B203/12</f>
        <v>18750</v>
      </c>
      <c r="E201" s="90">
        <f>C203/6</f>
        <v>23148.958333333332</v>
      </c>
      <c r="F201" s="91">
        <f t="shared" si="12"/>
        <v>41898.958333333328</v>
      </c>
      <c r="G201" s="91"/>
      <c r="H201" s="91">
        <f t="shared" ref="H201:H264" si="13">+(K202*0.001)/12</f>
        <v>420.83333333333331</v>
      </c>
      <c r="I201" s="91">
        <f t="shared" ref="I201:I264" si="14">+F201+G201+H201</f>
        <v>42319.791666666664</v>
      </c>
      <c r="K201" s="92">
        <f t="shared" si="11"/>
        <v>5050000</v>
      </c>
    </row>
    <row r="202" spans="1:11" ht="15" x14ac:dyDescent="0.25">
      <c r="A202" s="89">
        <v>46174</v>
      </c>
      <c r="B202" s="90">
        <v>0</v>
      </c>
      <c r="C202" s="90">
        <v>0</v>
      </c>
      <c r="D202" s="90">
        <f>B203/12</f>
        <v>18750</v>
      </c>
      <c r="E202" s="90">
        <f>C203/6</f>
        <v>23148.958333333332</v>
      </c>
      <c r="F202" s="91">
        <f t="shared" si="12"/>
        <v>41898.958333333328</v>
      </c>
      <c r="G202" s="91"/>
      <c r="H202" s="91">
        <f t="shared" si="13"/>
        <v>420.83333333333331</v>
      </c>
      <c r="I202" s="91">
        <f t="shared" si="14"/>
        <v>42319.791666666664</v>
      </c>
      <c r="K202" s="92">
        <f t="shared" ref="K202:K265" si="15">+K201-B201</f>
        <v>5050000</v>
      </c>
    </row>
    <row r="203" spans="1:11" ht="15" x14ac:dyDescent="0.25">
      <c r="A203" s="89">
        <v>46204</v>
      </c>
      <c r="B203" s="90">
        <v>225000</v>
      </c>
      <c r="C203" s="90">
        <v>138893.75</v>
      </c>
      <c r="D203" s="90">
        <f>B203/12</f>
        <v>18750</v>
      </c>
      <c r="E203" s="90">
        <f>C203/6</f>
        <v>23148.958333333332</v>
      </c>
      <c r="F203" s="91">
        <f t="shared" si="12"/>
        <v>41898.958333333328</v>
      </c>
      <c r="G203" s="91"/>
      <c r="H203" s="91">
        <f t="shared" si="13"/>
        <v>402.08333333333331</v>
      </c>
      <c r="I203" s="91">
        <f t="shared" si="14"/>
        <v>42301.041666666664</v>
      </c>
      <c r="J203" s="90">
        <f>SUM(F192:F203)</f>
        <v>502787.49999999983</v>
      </c>
      <c r="K203" s="92">
        <f t="shared" si="15"/>
        <v>5050000</v>
      </c>
    </row>
    <row r="204" spans="1:11" ht="15" x14ac:dyDescent="0.25">
      <c r="A204" s="89">
        <v>46235</v>
      </c>
      <c r="B204" s="90">
        <v>0</v>
      </c>
      <c r="C204" s="90">
        <v>0</v>
      </c>
      <c r="D204" s="90">
        <f>B215/12</f>
        <v>20000</v>
      </c>
      <c r="E204" s="90">
        <f>C209/6</f>
        <v>22164.583333333332</v>
      </c>
      <c r="F204" s="91">
        <f t="shared" si="12"/>
        <v>42164.583333333328</v>
      </c>
      <c r="G204" s="91"/>
      <c r="H204" s="91">
        <f t="shared" si="13"/>
        <v>402.08333333333331</v>
      </c>
      <c r="I204" s="91">
        <f t="shared" si="14"/>
        <v>42566.666666666664</v>
      </c>
      <c r="K204" s="92">
        <f t="shared" si="15"/>
        <v>4825000</v>
      </c>
    </row>
    <row r="205" spans="1:11" ht="15" x14ac:dyDescent="0.25">
      <c r="A205" s="89">
        <v>46266</v>
      </c>
      <c r="B205" s="90">
        <v>0</v>
      </c>
      <c r="C205" s="90">
        <v>0</v>
      </c>
      <c r="D205" s="90">
        <f>B215/12</f>
        <v>20000</v>
      </c>
      <c r="E205" s="90">
        <f>C209/6</f>
        <v>22164.583333333332</v>
      </c>
      <c r="F205" s="91">
        <f t="shared" si="12"/>
        <v>42164.583333333328</v>
      </c>
      <c r="G205" s="91"/>
      <c r="H205" s="91">
        <f t="shared" si="13"/>
        <v>402.08333333333331</v>
      </c>
      <c r="I205" s="91">
        <f t="shared" si="14"/>
        <v>42566.666666666664</v>
      </c>
      <c r="K205" s="92">
        <f t="shared" si="15"/>
        <v>4825000</v>
      </c>
    </row>
    <row r="206" spans="1:11" ht="15" x14ac:dyDescent="0.25">
      <c r="A206" s="89">
        <v>46296</v>
      </c>
      <c r="B206" s="90">
        <v>0</v>
      </c>
      <c r="C206" s="90">
        <v>0</v>
      </c>
      <c r="D206" s="90">
        <f>B215/12</f>
        <v>20000</v>
      </c>
      <c r="E206" s="90">
        <f>C209/6</f>
        <v>22164.583333333332</v>
      </c>
      <c r="F206" s="91">
        <f t="shared" si="12"/>
        <v>42164.583333333328</v>
      </c>
      <c r="G206" s="91"/>
      <c r="H206" s="91">
        <f t="shared" si="13"/>
        <v>402.08333333333331</v>
      </c>
      <c r="I206" s="91">
        <f t="shared" si="14"/>
        <v>42566.666666666664</v>
      </c>
      <c r="K206" s="92">
        <f t="shared" si="15"/>
        <v>4825000</v>
      </c>
    </row>
    <row r="207" spans="1:11" ht="15" x14ac:dyDescent="0.25">
      <c r="A207" s="89">
        <v>46327</v>
      </c>
      <c r="B207" s="90">
        <v>0</v>
      </c>
      <c r="C207" s="90">
        <v>0</v>
      </c>
      <c r="D207" s="90">
        <f>B215/12</f>
        <v>20000</v>
      </c>
      <c r="E207" s="90">
        <f>C209/6</f>
        <v>22164.583333333332</v>
      </c>
      <c r="F207" s="91">
        <f t="shared" si="12"/>
        <v>42164.583333333328</v>
      </c>
      <c r="G207" s="91"/>
      <c r="H207" s="91">
        <f t="shared" si="13"/>
        <v>402.08333333333331</v>
      </c>
      <c r="I207" s="91">
        <f t="shared" si="14"/>
        <v>42566.666666666664</v>
      </c>
      <c r="K207" s="92">
        <f t="shared" si="15"/>
        <v>4825000</v>
      </c>
    </row>
    <row r="208" spans="1:11" ht="15" x14ac:dyDescent="0.25">
      <c r="A208" s="89">
        <v>46357</v>
      </c>
      <c r="B208" s="90">
        <v>0</v>
      </c>
      <c r="C208" s="90">
        <v>0</v>
      </c>
      <c r="D208" s="90">
        <f>B215/12</f>
        <v>20000</v>
      </c>
      <c r="E208" s="90">
        <f>C209/6</f>
        <v>22164.583333333332</v>
      </c>
      <c r="F208" s="91">
        <f t="shared" si="12"/>
        <v>42164.583333333328</v>
      </c>
      <c r="G208" s="91"/>
      <c r="H208" s="91">
        <f t="shared" si="13"/>
        <v>402.08333333333331</v>
      </c>
      <c r="I208" s="91">
        <f t="shared" si="14"/>
        <v>42566.666666666664</v>
      </c>
      <c r="K208" s="92">
        <f t="shared" si="15"/>
        <v>4825000</v>
      </c>
    </row>
    <row r="209" spans="1:11" ht="15" x14ac:dyDescent="0.25">
      <c r="A209" s="89">
        <v>46388</v>
      </c>
      <c r="B209" s="90">
        <v>0</v>
      </c>
      <c r="C209" s="90">
        <v>132987.5</v>
      </c>
      <c r="D209" s="90">
        <f>B215/12</f>
        <v>20000</v>
      </c>
      <c r="E209" s="90">
        <f>C209/6</f>
        <v>22164.583333333332</v>
      </c>
      <c r="F209" s="91">
        <f t="shared" si="12"/>
        <v>42164.583333333328</v>
      </c>
      <c r="G209" s="91"/>
      <c r="H209" s="91">
        <f t="shared" si="13"/>
        <v>402.08333333333331</v>
      </c>
      <c r="I209" s="91">
        <f t="shared" si="14"/>
        <v>42566.666666666664</v>
      </c>
      <c r="K209" s="92">
        <f t="shared" si="15"/>
        <v>4825000</v>
      </c>
    </row>
    <row r="210" spans="1:11" ht="15" x14ac:dyDescent="0.25">
      <c r="A210" s="89">
        <v>46419</v>
      </c>
      <c r="B210" s="90">
        <v>0</v>
      </c>
      <c r="C210" s="90">
        <v>0</v>
      </c>
      <c r="D210" s="90">
        <f>B215/12</f>
        <v>20000</v>
      </c>
      <c r="E210" s="90">
        <f>C215/6</f>
        <v>22164.583333333332</v>
      </c>
      <c r="F210" s="91">
        <f t="shared" si="12"/>
        <v>42164.583333333328</v>
      </c>
      <c r="G210" s="91"/>
      <c r="H210" s="91">
        <f t="shared" si="13"/>
        <v>402.08333333333331</v>
      </c>
      <c r="I210" s="91">
        <f t="shared" si="14"/>
        <v>42566.666666666664</v>
      </c>
      <c r="K210" s="92">
        <f t="shared" si="15"/>
        <v>4825000</v>
      </c>
    </row>
    <row r="211" spans="1:11" ht="15" x14ac:dyDescent="0.25">
      <c r="A211" s="89">
        <v>46447</v>
      </c>
      <c r="B211" s="90">
        <v>0</v>
      </c>
      <c r="C211" s="90">
        <v>0</v>
      </c>
      <c r="D211" s="90">
        <f>B215/12</f>
        <v>20000</v>
      </c>
      <c r="E211" s="90">
        <f>C215/6</f>
        <v>22164.583333333332</v>
      </c>
      <c r="F211" s="91">
        <f t="shared" si="12"/>
        <v>42164.583333333328</v>
      </c>
      <c r="G211" s="91"/>
      <c r="H211" s="91">
        <f t="shared" si="13"/>
        <v>402.08333333333331</v>
      </c>
      <c r="I211" s="91">
        <f t="shared" si="14"/>
        <v>42566.666666666664</v>
      </c>
      <c r="K211" s="92">
        <f t="shared" si="15"/>
        <v>4825000</v>
      </c>
    </row>
    <row r="212" spans="1:11" ht="15" x14ac:dyDescent="0.25">
      <c r="A212" s="89">
        <v>46478</v>
      </c>
      <c r="B212" s="90">
        <v>0</v>
      </c>
      <c r="C212" s="90">
        <v>0</v>
      </c>
      <c r="D212" s="90">
        <f>B215/12</f>
        <v>20000</v>
      </c>
      <c r="E212" s="90">
        <f>C215/6</f>
        <v>22164.583333333332</v>
      </c>
      <c r="F212" s="91">
        <f t="shared" si="12"/>
        <v>42164.583333333328</v>
      </c>
      <c r="G212" s="91"/>
      <c r="H212" s="91">
        <f t="shared" si="13"/>
        <v>402.08333333333331</v>
      </c>
      <c r="I212" s="91">
        <f t="shared" si="14"/>
        <v>42566.666666666664</v>
      </c>
      <c r="K212" s="92">
        <f t="shared" si="15"/>
        <v>4825000</v>
      </c>
    </row>
    <row r="213" spans="1:11" ht="15" x14ac:dyDescent="0.25">
      <c r="A213" s="89">
        <v>46508</v>
      </c>
      <c r="B213" s="90">
        <v>0</v>
      </c>
      <c r="C213" s="90">
        <v>0</v>
      </c>
      <c r="D213" s="90">
        <f>B215/12</f>
        <v>20000</v>
      </c>
      <c r="E213" s="90">
        <f>C215/6</f>
        <v>22164.583333333332</v>
      </c>
      <c r="F213" s="91">
        <f t="shared" si="12"/>
        <v>42164.583333333328</v>
      </c>
      <c r="G213" s="91"/>
      <c r="H213" s="91">
        <f t="shared" si="13"/>
        <v>402.08333333333331</v>
      </c>
      <c r="I213" s="91">
        <f t="shared" si="14"/>
        <v>42566.666666666664</v>
      </c>
      <c r="K213" s="92">
        <f t="shared" si="15"/>
        <v>4825000</v>
      </c>
    </row>
    <row r="214" spans="1:11" ht="15" x14ac:dyDescent="0.25">
      <c r="A214" s="89">
        <v>46539</v>
      </c>
      <c r="B214" s="90">
        <v>0</v>
      </c>
      <c r="C214" s="90">
        <v>0</v>
      </c>
      <c r="D214" s="90">
        <f>B215/12</f>
        <v>20000</v>
      </c>
      <c r="E214" s="90">
        <f>C215/6</f>
        <v>22164.583333333332</v>
      </c>
      <c r="F214" s="91">
        <f t="shared" si="12"/>
        <v>42164.583333333328</v>
      </c>
      <c r="G214" s="91"/>
      <c r="H214" s="91">
        <f t="shared" si="13"/>
        <v>402.08333333333331</v>
      </c>
      <c r="I214" s="91">
        <f t="shared" si="14"/>
        <v>42566.666666666664</v>
      </c>
      <c r="K214" s="92">
        <f t="shared" si="15"/>
        <v>4825000</v>
      </c>
    </row>
    <row r="215" spans="1:11" ht="15" x14ac:dyDescent="0.25">
      <c r="A215" s="89">
        <v>46569</v>
      </c>
      <c r="B215" s="90">
        <v>240000</v>
      </c>
      <c r="C215" s="90">
        <v>132987.5</v>
      </c>
      <c r="D215" s="90">
        <f>B215/12</f>
        <v>20000</v>
      </c>
      <c r="E215" s="90">
        <f>C215/6</f>
        <v>22164.583333333332</v>
      </c>
      <c r="F215" s="91">
        <f t="shared" si="12"/>
        <v>42164.583333333328</v>
      </c>
      <c r="G215" s="91"/>
      <c r="H215" s="91">
        <f t="shared" si="13"/>
        <v>382.08333333333331</v>
      </c>
      <c r="I215" s="91">
        <f t="shared" si="14"/>
        <v>42546.666666666664</v>
      </c>
      <c r="J215" s="90">
        <f>SUM(F204:F215)</f>
        <v>505974.99999999983</v>
      </c>
      <c r="K215" s="92">
        <f t="shared" si="15"/>
        <v>4825000</v>
      </c>
    </row>
    <row r="216" spans="1:11" ht="15" x14ac:dyDescent="0.25">
      <c r="A216" s="89">
        <v>46600</v>
      </c>
      <c r="B216" s="90">
        <v>0</v>
      </c>
      <c r="C216" s="90">
        <v>0</v>
      </c>
      <c r="D216" s="90">
        <f>B227/12</f>
        <v>20833.333333333332</v>
      </c>
      <c r="E216" s="90">
        <f>C221/6</f>
        <v>21114.583333333332</v>
      </c>
      <c r="F216" s="91">
        <f t="shared" si="12"/>
        <v>41947.916666666664</v>
      </c>
      <c r="G216" s="91"/>
      <c r="H216" s="91">
        <f t="shared" si="13"/>
        <v>382.08333333333331</v>
      </c>
      <c r="I216" s="91">
        <f t="shared" si="14"/>
        <v>42330</v>
      </c>
      <c r="K216" s="92">
        <f t="shared" si="15"/>
        <v>4585000</v>
      </c>
    </row>
    <row r="217" spans="1:11" ht="15" x14ac:dyDescent="0.25">
      <c r="A217" s="89">
        <v>46631</v>
      </c>
      <c r="B217" s="90">
        <v>0</v>
      </c>
      <c r="C217" s="90">
        <v>0</v>
      </c>
      <c r="D217" s="90">
        <f>B227/12</f>
        <v>20833.333333333332</v>
      </c>
      <c r="E217" s="90">
        <f>C221/6</f>
        <v>21114.583333333332</v>
      </c>
      <c r="F217" s="91">
        <f t="shared" si="12"/>
        <v>41947.916666666664</v>
      </c>
      <c r="G217" s="91"/>
      <c r="H217" s="91">
        <f t="shared" si="13"/>
        <v>382.08333333333331</v>
      </c>
      <c r="I217" s="91">
        <f t="shared" si="14"/>
        <v>42330</v>
      </c>
      <c r="K217" s="92">
        <f t="shared" si="15"/>
        <v>4585000</v>
      </c>
    </row>
    <row r="218" spans="1:11" ht="15" x14ac:dyDescent="0.25">
      <c r="A218" s="89">
        <v>46661</v>
      </c>
      <c r="B218" s="90">
        <v>0</v>
      </c>
      <c r="C218" s="90">
        <v>0</v>
      </c>
      <c r="D218" s="90">
        <f>B227/12</f>
        <v>20833.333333333332</v>
      </c>
      <c r="E218" s="90">
        <f>C221/6</f>
        <v>21114.583333333332</v>
      </c>
      <c r="F218" s="91">
        <f t="shared" si="12"/>
        <v>41947.916666666664</v>
      </c>
      <c r="G218" s="91"/>
      <c r="H218" s="91">
        <f t="shared" si="13"/>
        <v>382.08333333333331</v>
      </c>
      <c r="I218" s="91">
        <f t="shared" si="14"/>
        <v>42330</v>
      </c>
      <c r="K218" s="92">
        <f t="shared" si="15"/>
        <v>4585000</v>
      </c>
    </row>
    <row r="219" spans="1:11" ht="15" x14ac:dyDescent="0.25">
      <c r="A219" s="89">
        <v>46692</v>
      </c>
      <c r="B219" s="90">
        <v>0</v>
      </c>
      <c r="C219" s="90">
        <v>0</v>
      </c>
      <c r="D219" s="90">
        <f>B227/12</f>
        <v>20833.333333333332</v>
      </c>
      <c r="E219" s="90">
        <f>C221/6</f>
        <v>21114.583333333332</v>
      </c>
      <c r="F219" s="91">
        <f t="shared" si="12"/>
        <v>41947.916666666664</v>
      </c>
      <c r="G219" s="91"/>
      <c r="H219" s="91">
        <f t="shared" si="13"/>
        <v>382.08333333333331</v>
      </c>
      <c r="I219" s="91">
        <f t="shared" si="14"/>
        <v>42330</v>
      </c>
      <c r="K219" s="92">
        <f t="shared" si="15"/>
        <v>4585000</v>
      </c>
    </row>
    <row r="220" spans="1:11" ht="15" x14ac:dyDescent="0.25">
      <c r="A220" s="89">
        <v>46722</v>
      </c>
      <c r="B220" s="90">
        <v>0</v>
      </c>
      <c r="C220" s="90">
        <v>0</v>
      </c>
      <c r="D220" s="90">
        <f>B227/12</f>
        <v>20833.333333333332</v>
      </c>
      <c r="E220" s="90">
        <f>C221/6</f>
        <v>21114.583333333332</v>
      </c>
      <c r="F220" s="91">
        <f t="shared" si="12"/>
        <v>41947.916666666664</v>
      </c>
      <c r="G220" s="91"/>
      <c r="H220" s="91">
        <f t="shared" si="13"/>
        <v>382.08333333333331</v>
      </c>
      <c r="I220" s="91">
        <f t="shared" si="14"/>
        <v>42330</v>
      </c>
      <c r="K220" s="92">
        <f t="shared" si="15"/>
        <v>4585000</v>
      </c>
    </row>
    <row r="221" spans="1:11" ht="15" x14ac:dyDescent="0.25">
      <c r="A221" s="89">
        <v>46753</v>
      </c>
      <c r="B221" s="90">
        <v>0</v>
      </c>
      <c r="C221" s="90">
        <v>126687.5</v>
      </c>
      <c r="D221" s="90">
        <f>B227/12</f>
        <v>20833.333333333332</v>
      </c>
      <c r="E221" s="90">
        <f>C221/6</f>
        <v>21114.583333333332</v>
      </c>
      <c r="F221" s="91">
        <f t="shared" si="12"/>
        <v>41947.916666666664</v>
      </c>
      <c r="G221" s="91"/>
      <c r="H221" s="91">
        <f t="shared" si="13"/>
        <v>382.08333333333331</v>
      </c>
      <c r="I221" s="91">
        <f t="shared" si="14"/>
        <v>42330</v>
      </c>
      <c r="K221" s="92">
        <f t="shared" si="15"/>
        <v>4585000</v>
      </c>
    </row>
    <row r="222" spans="1:11" ht="15" x14ac:dyDescent="0.25">
      <c r="A222" s="89">
        <v>46784</v>
      </c>
      <c r="B222" s="90">
        <v>0</v>
      </c>
      <c r="C222" s="90">
        <v>0</v>
      </c>
      <c r="D222" s="90">
        <f>B227/12</f>
        <v>20833.333333333332</v>
      </c>
      <c r="E222" s="90">
        <f>C227/6</f>
        <v>21114.583333333332</v>
      </c>
      <c r="F222" s="91">
        <f t="shared" si="12"/>
        <v>41947.916666666664</v>
      </c>
      <c r="G222" s="91"/>
      <c r="H222" s="91">
        <f t="shared" si="13"/>
        <v>382.08333333333331</v>
      </c>
      <c r="I222" s="91">
        <f t="shared" si="14"/>
        <v>42330</v>
      </c>
      <c r="J222" s="93"/>
      <c r="K222" s="92">
        <f t="shared" si="15"/>
        <v>4585000</v>
      </c>
    </row>
    <row r="223" spans="1:11" ht="15" x14ac:dyDescent="0.25">
      <c r="A223" s="89">
        <v>46813</v>
      </c>
      <c r="B223" s="90">
        <v>0</v>
      </c>
      <c r="C223" s="90">
        <v>0</v>
      </c>
      <c r="D223" s="90">
        <f>B227/12</f>
        <v>20833.333333333332</v>
      </c>
      <c r="E223" s="90">
        <f>C227/6</f>
        <v>21114.583333333332</v>
      </c>
      <c r="F223" s="91">
        <f t="shared" si="12"/>
        <v>41947.916666666664</v>
      </c>
      <c r="G223" s="91"/>
      <c r="H223" s="91">
        <f t="shared" si="13"/>
        <v>382.08333333333331</v>
      </c>
      <c r="I223" s="91">
        <f t="shared" si="14"/>
        <v>42330</v>
      </c>
      <c r="K223" s="92">
        <f t="shared" si="15"/>
        <v>4585000</v>
      </c>
    </row>
    <row r="224" spans="1:11" ht="15" x14ac:dyDescent="0.25">
      <c r="A224" s="89">
        <v>46844</v>
      </c>
      <c r="B224" s="90">
        <v>0</v>
      </c>
      <c r="C224" s="90">
        <v>0</v>
      </c>
      <c r="D224" s="90">
        <f>B227/12</f>
        <v>20833.333333333332</v>
      </c>
      <c r="E224" s="90">
        <f>C227/6</f>
        <v>21114.583333333332</v>
      </c>
      <c r="F224" s="91">
        <f t="shared" si="12"/>
        <v>41947.916666666664</v>
      </c>
      <c r="G224" s="91"/>
      <c r="H224" s="91">
        <f t="shared" si="13"/>
        <v>382.08333333333331</v>
      </c>
      <c r="I224" s="91">
        <f t="shared" si="14"/>
        <v>42330</v>
      </c>
      <c r="K224" s="92">
        <f t="shared" si="15"/>
        <v>4585000</v>
      </c>
    </row>
    <row r="225" spans="1:11" ht="15" x14ac:dyDescent="0.25">
      <c r="A225" s="89">
        <v>46874</v>
      </c>
      <c r="B225" s="90">
        <v>0</v>
      </c>
      <c r="C225" s="90">
        <v>0</v>
      </c>
      <c r="D225" s="90">
        <f>B227/12</f>
        <v>20833.333333333332</v>
      </c>
      <c r="E225" s="90">
        <f>C227/6</f>
        <v>21114.583333333332</v>
      </c>
      <c r="F225" s="91">
        <f t="shared" si="12"/>
        <v>41947.916666666664</v>
      </c>
      <c r="G225" s="91"/>
      <c r="H225" s="91">
        <f t="shared" si="13"/>
        <v>382.08333333333331</v>
      </c>
      <c r="I225" s="91">
        <f t="shared" si="14"/>
        <v>42330</v>
      </c>
      <c r="K225" s="92">
        <f t="shared" si="15"/>
        <v>4585000</v>
      </c>
    </row>
    <row r="226" spans="1:11" ht="15" x14ac:dyDescent="0.25">
      <c r="A226" s="89">
        <v>46905</v>
      </c>
      <c r="B226" s="90">
        <v>0</v>
      </c>
      <c r="C226" s="90">
        <v>0</v>
      </c>
      <c r="D226" s="90">
        <f>B227/12</f>
        <v>20833.333333333332</v>
      </c>
      <c r="E226" s="90">
        <f>C227/6</f>
        <v>21114.583333333332</v>
      </c>
      <c r="F226" s="91">
        <f t="shared" si="12"/>
        <v>41947.916666666664</v>
      </c>
      <c r="G226" s="91"/>
      <c r="H226" s="91">
        <f t="shared" si="13"/>
        <v>382.08333333333331</v>
      </c>
      <c r="I226" s="91">
        <f t="shared" si="14"/>
        <v>42330</v>
      </c>
      <c r="K226" s="92">
        <f t="shared" si="15"/>
        <v>4585000</v>
      </c>
    </row>
    <row r="227" spans="1:11" ht="15" x14ac:dyDescent="0.25">
      <c r="A227" s="89">
        <v>46935</v>
      </c>
      <c r="B227" s="90">
        <v>250000</v>
      </c>
      <c r="C227" s="90">
        <v>126687.5</v>
      </c>
      <c r="D227" s="90">
        <f>B227/12</f>
        <v>20833.333333333332</v>
      </c>
      <c r="E227" s="90">
        <f>C227/6</f>
        <v>21114.583333333332</v>
      </c>
      <c r="F227" s="91">
        <f t="shared" si="12"/>
        <v>41947.916666666664</v>
      </c>
      <c r="G227" s="91"/>
      <c r="H227" s="91">
        <f t="shared" si="13"/>
        <v>361.25</v>
      </c>
      <c r="I227" s="91">
        <f t="shared" si="14"/>
        <v>42309.166666666664</v>
      </c>
      <c r="J227" s="90">
        <f>SUM(F216:F227)</f>
        <v>503375.00000000006</v>
      </c>
      <c r="K227" s="92">
        <f t="shared" si="15"/>
        <v>4585000</v>
      </c>
    </row>
    <row r="228" spans="1:11" ht="15" x14ac:dyDescent="0.25">
      <c r="A228" s="89">
        <v>46966</v>
      </c>
      <c r="B228" s="90">
        <v>0</v>
      </c>
      <c r="C228" s="90">
        <v>0</v>
      </c>
      <c r="D228" s="90">
        <f>B239/12</f>
        <v>22083.333333333332</v>
      </c>
      <c r="E228" s="90">
        <f>C233/6</f>
        <v>20020.833333333332</v>
      </c>
      <c r="F228" s="91">
        <f t="shared" si="12"/>
        <v>42104.166666666664</v>
      </c>
      <c r="G228" s="91"/>
      <c r="H228" s="91">
        <f t="shared" si="13"/>
        <v>361.25</v>
      </c>
      <c r="I228" s="91">
        <f t="shared" si="14"/>
        <v>42465.416666666664</v>
      </c>
      <c r="K228" s="92">
        <f t="shared" si="15"/>
        <v>4335000</v>
      </c>
    </row>
    <row r="229" spans="1:11" ht="15" x14ac:dyDescent="0.25">
      <c r="A229" s="89">
        <v>46997</v>
      </c>
      <c r="B229" s="90">
        <v>0</v>
      </c>
      <c r="C229" s="90">
        <v>0</v>
      </c>
      <c r="D229" s="90">
        <f>B239/12</f>
        <v>22083.333333333332</v>
      </c>
      <c r="E229" s="90">
        <f>C233/6</f>
        <v>20020.833333333332</v>
      </c>
      <c r="F229" s="91">
        <f t="shared" si="12"/>
        <v>42104.166666666664</v>
      </c>
      <c r="G229" s="91"/>
      <c r="H229" s="91">
        <f t="shared" si="13"/>
        <v>361.25</v>
      </c>
      <c r="I229" s="91">
        <f t="shared" si="14"/>
        <v>42465.416666666664</v>
      </c>
      <c r="K229" s="92">
        <f t="shared" si="15"/>
        <v>4335000</v>
      </c>
    </row>
    <row r="230" spans="1:11" ht="15" x14ac:dyDescent="0.25">
      <c r="A230" s="89">
        <v>47027</v>
      </c>
      <c r="B230" s="90">
        <v>0</v>
      </c>
      <c r="C230" s="90">
        <v>0</v>
      </c>
      <c r="D230" s="90">
        <f>B239/12</f>
        <v>22083.333333333332</v>
      </c>
      <c r="E230" s="90">
        <f>C233/6</f>
        <v>20020.833333333332</v>
      </c>
      <c r="F230" s="91">
        <f t="shared" si="12"/>
        <v>42104.166666666664</v>
      </c>
      <c r="G230" s="91"/>
      <c r="H230" s="91">
        <f t="shared" si="13"/>
        <v>361.25</v>
      </c>
      <c r="I230" s="91">
        <f t="shared" si="14"/>
        <v>42465.416666666664</v>
      </c>
      <c r="K230" s="92">
        <f t="shared" si="15"/>
        <v>4335000</v>
      </c>
    </row>
    <row r="231" spans="1:11" ht="15" x14ac:dyDescent="0.25">
      <c r="A231" s="89">
        <v>47058</v>
      </c>
      <c r="B231" s="90">
        <v>0</v>
      </c>
      <c r="C231" s="90">
        <v>0</v>
      </c>
      <c r="D231" s="90">
        <f>B239/12</f>
        <v>22083.333333333332</v>
      </c>
      <c r="E231" s="90">
        <f>C233/6</f>
        <v>20020.833333333332</v>
      </c>
      <c r="F231" s="91">
        <f t="shared" si="12"/>
        <v>42104.166666666664</v>
      </c>
      <c r="G231" s="91"/>
      <c r="H231" s="91">
        <f t="shared" si="13"/>
        <v>361.25</v>
      </c>
      <c r="I231" s="91">
        <f t="shared" si="14"/>
        <v>42465.416666666664</v>
      </c>
      <c r="K231" s="92">
        <f t="shared" si="15"/>
        <v>4335000</v>
      </c>
    </row>
    <row r="232" spans="1:11" ht="15" x14ac:dyDescent="0.25">
      <c r="A232" s="89">
        <v>47088</v>
      </c>
      <c r="B232" s="90">
        <v>0</v>
      </c>
      <c r="C232" s="90">
        <v>0</v>
      </c>
      <c r="D232" s="90">
        <f>B239/12</f>
        <v>22083.333333333332</v>
      </c>
      <c r="E232" s="90">
        <f>C233/6</f>
        <v>20020.833333333332</v>
      </c>
      <c r="F232" s="91">
        <f t="shared" si="12"/>
        <v>42104.166666666664</v>
      </c>
      <c r="G232" s="91"/>
      <c r="H232" s="91">
        <f t="shared" si="13"/>
        <v>361.25</v>
      </c>
      <c r="I232" s="91">
        <f t="shared" si="14"/>
        <v>42465.416666666664</v>
      </c>
      <c r="K232" s="92">
        <f t="shared" si="15"/>
        <v>4335000</v>
      </c>
    </row>
    <row r="233" spans="1:11" ht="15" x14ac:dyDescent="0.25">
      <c r="A233" s="89">
        <v>47119</v>
      </c>
      <c r="B233" s="90">
        <v>0</v>
      </c>
      <c r="C233" s="90">
        <v>120125</v>
      </c>
      <c r="D233" s="90">
        <f>B239/12</f>
        <v>22083.333333333332</v>
      </c>
      <c r="E233" s="90">
        <f>C233/6</f>
        <v>20020.833333333332</v>
      </c>
      <c r="F233" s="91">
        <f t="shared" si="12"/>
        <v>42104.166666666664</v>
      </c>
      <c r="G233" s="91"/>
      <c r="H233" s="91">
        <f t="shared" si="13"/>
        <v>361.25</v>
      </c>
      <c r="I233" s="91">
        <f t="shared" si="14"/>
        <v>42465.416666666664</v>
      </c>
      <c r="K233" s="92">
        <f t="shared" si="15"/>
        <v>4335000</v>
      </c>
    </row>
    <row r="234" spans="1:11" ht="15" x14ac:dyDescent="0.25">
      <c r="A234" s="89">
        <v>47150</v>
      </c>
      <c r="B234" s="90">
        <v>0</v>
      </c>
      <c r="C234" s="90">
        <v>0</v>
      </c>
      <c r="D234" s="90">
        <f>B239/12</f>
        <v>22083.333333333332</v>
      </c>
      <c r="E234" s="90">
        <f>C239/6</f>
        <v>20020.833333333332</v>
      </c>
      <c r="F234" s="91">
        <f t="shared" si="12"/>
        <v>42104.166666666664</v>
      </c>
      <c r="G234" s="91"/>
      <c r="H234" s="91">
        <f t="shared" si="13"/>
        <v>361.25</v>
      </c>
      <c r="I234" s="91">
        <f t="shared" si="14"/>
        <v>42465.416666666664</v>
      </c>
      <c r="K234" s="92">
        <f t="shared" si="15"/>
        <v>4335000</v>
      </c>
    </row>
    <row r="235" spans="1:11" ht="15" x14ac:dyDescent="0.25">
      <c r="A235" s="89">
        <v>47178</v>
      </c>
      <c r="B235" s="90">
        <v>0</v>
      </c>
      <c r="C235" s="90">
        <v>0</v>
      </c>
      <c r="D235" s="90">
        <f>B239/12</f>
        <v>22083.333333333332</v>
      </c>
      <c r="E235" s="90">
        <f>C239/6</f>
        <v>20020.833333333332</v>
      </c>
      <c r="F235" s="91">
        <f t="shared" si="12"/>
        <v>42104.166666666664</v>
      </c>
      <c r="G235" s="91"/>
      <c r="H235" s="91">
        <f t="shared" si="13"/>
        <v>361.25</v>
      </c>
      <c r="I235" s="91">
        <f t="shared" si="14"/>
        <v>42465.416666666664</v>
      </c>
      <c r="K235" s="92">
        <f t="shared" si="15"/>
        <v>4335000</v>
      </c>
    </row>
    <row r="236" spans="1:11" ht="15" x14ac:dyDescent="0.25">
      <c r="A236" s="89">
        <v>47209</v>
      </c>
      <c r="B236" s="90">
        <v>0</v>
      </c>
      <c r="C236" s="90">
        <v>0</v>
      </c>
      <c r="D236" s="90">
        <f>B239/12</f>
        <v>22083.333333333332</v>
      </c>
      <c r="E236" s="90">
        <f>C239/6</f>
        <v>20020.833333333332</v>
      </c>
      <c r="F236" s="91">
        <f t="shared" si="12"/>
        <v>42104.166666666664</v>
      </c>
      <c r="G236" s="91"/>
      <c r="H236" s="91">
        <f t="shared" si="13"/>
        <v>361.25</v>
      </c>
      <c r="I236" s="91">
        <f t="shared" si="14"/>
        <v>42465.416666666664</v>
      </c>
      <c r="K236" s="92">
        <f t="shared" si="15"/>
        <v>4335000</v>
      </c>
    </row>
    <row r="237" spans="1:11" ht="15" x14ac:dyDescent="0.25">
      <c r="A237" s="89">
        <v>47239</v>
      </c>
      <c r="B237" s="90">
        <v>0</v>
      </c>
      <c r="C237" s="90">
        <v>0</v>
      </c>
      <c r="D237" s="90">
        <f>B239/12</f>
        <v>22083.333333333332</v>
      </c>
      <c r="E237" s="90">
        <f>C239/6</f>
        <v>20020.833333333332</v>
      </c>
      <c r="F237" s="91">
        <f t="shared" si="12"/>
        <v>42104.166666666664</v>
      </c>
      <c r="G237" s="91"/>
      <c r="H237" s="91">
        <f t="shared" si="13"/>
        <v>361.25</v>
      </c>
      <c r="I237" s="91">
        <f t="shared" si="14"/>
        <v>42465.416666666664</v>
      </c>
      <c r="K237" s="92">
        <f t="shared" si="15"/>
        <v>4335000</v>
      </c>
    </row>
    <row r="238" spans="1:11" ht="15" x14ac:dyDescent="0.25">
      <c r="A238" s="89">
        <v>47270</v>
      </c>
      <c r="B238" s="90">
        <v>0</v>
      </c>
      <c r="C238" s="90">
        <v>0</v>
      </c>
      <c r="D238" s="90">
        <f>B239/12</f>
        <v>22083.333333333332</v>
      </c>
      <c r="E238" s="90">
        <f>C239/6</f>
        <v>20020.833333333332</v>
      </c>
      <c r="F238" s="91">
        <f t="shared" si="12"/>
        <v>42104.166666666664</v>
      </c>
      <c r="G238" s="91"/>
      <c r="H238" s="91">
        <f t="shared" si="13"/>
        <v>361.25</v>
      </c>
      <c r="I238" s="91">
        <f t="shared" si="14"/>
        <v>42465.416666666664</v>
      </c>
      <c r="K238" s="92">
        <f t="shared" si="15"/>
        <v>4335000</v>
      </c>
    </row>
    <row r="239" spans="1:11" ht="15" x14ac:dyDescent="0.25">
      <c r="A239" s="89">
        <v>47300</v>
      </c>
      <c r="B239" s="90">
        <v>265000</v>
      </c>
      <c r="C239" s="90">
        <v>120125</v>
      </c>
      <c r="D239" s="90">
        <f>B239/12</f>
        <v>22083.333333333332</v>
      </c>
      <c r="E239" s="90">
        <f>C239/6</f>
        <v>20020.833333333332</v>
      </c>
      <c r="F239" s="91">
        <f t="shared" si="12"/>
        <v>42104.166666666664</v>
      </c>
      <c r="G239" s="91"/>
      <c r="H239" s="91">
        <f t="shared" si="13"/>
        <v>339.16666666666669</v>
      </c>
      <c r="I239" s="91">
        <f t="shared" si="14"/>
        <v>42443.333333333328</v>
      </c>
      <c r="J239" s="90">
        <f>SUM(F228:F239)</f>
        <v>505250.00000000006</v>
      </c>
      <c r="K239" s="92">
        <f t="shared" si="15"/>
        <v>4335000</v>
      </c>
    </row>
    <row r="240" spans="1:11" ht="15" x14ac:dyDescent="0.25">
      <c r="A240" s="89">
        <v>47331</v>
      </c>
      <c r="B240" s="90">
        <v>0</v>
      </c>
      <c r="C240" s="90">
        <v>0</v>
      </c>
      <c r="D240" s="90">
        <f>B251/12</f>
        <v>23333.333333333332</v>
      </c>
      <c r="E240" s="90">
        <f>C245/6</f>
        <v>18784.166666666668</v>
      </c>
      <c r="F240" s="91">
        <f t="shared" si="12"/>
        <v>42117.5</v>
      </c>
      <c r="G240" s="91"/>
      <c r="H240" s="91">
        <f t="shared" si="13"/>
        <v>339.16666666666669</v>
      </c>
      <c r="I240" s="91">
        <f t="shared" si="14"/>
        <v>42456.666666666664</v>
      </c>
      <c r="K240" s="92">
        <f t="shared" si="15"/>
        <v>4070000</v>
      </c>
    </row>
    <row r="241" spans="1:11" ht="15" x14ac:dyDescent="0.25">
      <c r="A241" s="89">
        <v>47362</v>
      </c>
      <c r="B241" s="90">
        <v>0</v>
      </c>
      <c r="C241" s="90">
        <v>0</v>
      </c>
      <c r="D241" s="90">
        <f>B251/12</f>
        <v>23333.333333333332</v>
      </c>
      <c r="E241" s="90">
        <f>C245/6</f>
        <v>18784.166666666668</v>
      </c>
      <c r="F241" s="91">
        <f t="shared" si="12"/>
        <v>42117.5</v>
      </c>
      <c r="G241" s="91"/>
      <c r="H241" s="91">
        <f t="shared" si="13"/>
        <v>339.16666666666669</v>
      </c>
      <c r="I241" s="91">
        <f t="shared" si="14"/>
        <v>42456.666666666664</v>
      </c>
      <c r="K241" s="92">
        <f t="shared" si="15"/>
        <v>4070000</v>
      </c>
    </row>
    <row r="242" spans="1:11" ht="15" x14ac:dyDescent="0.25">
      <c r="A242" s="89">
        <v>47392</v>
      </c>
      <c r="B242" s="90">
        <v>0</v>
      </c>
      <c r="C242" s="90">
        <v>0</v>
      </c>
      <c r="D242" s="90">
        <f>B251/12</f>
        <v>23333.333333333332</v>
      </c>
      <c r="E242" s="90">
        <f>C245/6</f>
        <v>18784.166666666668</v>
      </c>
      <c r="F242" s="91">
        <f t="shared" si="12"/>
        <v>42117.5</v>
      </c>
      <c r="G242" s="91"/>
      <c r="H242" s="91">
        <f t="shared" si="13"/>
        <v>339.16666666666669</v>
      </c>
      <c r="I242" s="91">
        <f t="shared" si="14"/>
        <v>42456.666666666664</v>
      </c>
      <c r="K242" s="92">
        <f t="shared" si="15"/>
        <v>4070000</v>
      </c>
    </row>
    <row r="243" spans="1:11" ht="15" x14ac:dyDescent="0.25">
      <c r="A243" s="89">
        <v>47423</v>
      </c>
      <c r="B243" s="90">
        <v>0</v>
      </c>
      <c r="C243" s="90">
        <v>0</v>
      </c>
      <c r="D243" s="90">
        <f>B251/12</f>
        <v>23333.333333333332</v>
      </c>
      <c r="E243" s="90">
        <f>C245/6</f>
        <v>18784.166666666668</v>
      </c>
      <c r="F243" s="91">
        <f t="shared" si="12"/>
        <v>42117.5</v>
      </c>
      <c r="G243" s="91"/>
      <c r="H243" s="91">
        <f t="shared" si="13"/>
        <v>339.16666666666669</v>
      </c>
      <c r="I243" s="91">
        <f t="shared" si="14"/>
        <v>42456.666666666664</v>
      </c>
      <c r="K243" s="92">
        <f t="shared" si="15"/>
        <v>4070000</v>
      </c>
    </row>
    <row r="244" spans="1:11" ht="15" x14ac:dyDescent="0.25">
      <c r="A244" s="89">
        <v>47453</v>
      </c>
      <c r="B244" s="90">
        <v>0</v>
      </c>
      <c r="C244" s="90">
        <v>0</v>
      </c>
      <c r="D244" s="90">
        <f>B251/12</f>
        <v>23333.333333333332</v>
      </c>
      <c r="E244" s="90">
        <f>C245/6</f>
        <v>18784.166666666668</v>
      </c>
      <c r="F244" s="91">
        <f t="shared" si="12"/>
        <v>42117.5</v>
      </c>
      <c r="G244" s="91"/>
      <c r="H244" s="91">
        <f t="shared" si="13"/>
        <v>339.16666666666669</v>
      </c>
      <c r="I244" s="91">
        <f t="shared" si="14"/>
        <v>42456.666666666664</v>
      </c>
      <c r="K244" s="92">
        <f t="shared" si="15"/>
        <v>4070000</v>
      </c>
    </row>
    <row r="245" spans="1:11" ht="15" x14ac:dyDescent="0.25">
      <c r="A245" s="89">
        <v>47484</v>
      </c>
      <c r="B245" s="90">
        <v>0</v>
      </c>
      <c r="C245" s="90">
        <v>112705</v>
      </c>
      <c r="D245" s="90">
        <f>B251/12</f>
        <v>23333.333333333332</v>
      </c>
      <c r="E245" s="90">
        <f>C245/6</f>
        <v>18784.166666666668</v>
      </c>
      <c r="F245" s="91">
        <f t="shared" si="12"/>
        <v>42117.5</v>
      </c>
      <c r="G245" s="91"/>
      <c r="H245" s="91">
        <f t="shared" si="13"/>
        <v>339.16666666666669</v>
      </c>
      <c r="I245" s="91">
        <f t="shared" si="14"/>
        <v>42456.666666666664</v>
      </c>
      <c r="K245" s="92">
        <f t="shared" si="15"/>
        <v>4070000</v>
      </c>
    </row>
    <row r="246" spans="1:11" ht="15" x14ac:dyDescent="0.25">
      <c r="A246" s="89">
        <v>47515</v>
      </c>
      <c r="B246" s="90">
        <v>0</v>
      </c>
      <c r="C246" s="90">
        <v>0</v>
      </c>
      <c r="D246" s="90">
        <f>B251/12</f>
        <v>23333.333333333332</v>
      </c>
      <c r="E246" s="90">
        <f>C251/6</f>
        <v>18784.166666666668</v>
      </c>
      <c r="F246" s="91">
        <f t="shared" si="12"/>
        <v>42117.5</v>
      </c>
      <c r="G246" s="91"/>
      <c r="H246" s="91">
        <f t="shared" si="13"/>
        <v>339.16666666666669</v>
      </c>
      <c r="I246" s="91">
        <f t="shared" si="14"/>
        <v>42456.666666666664</v>
      </c>
      <c r="J246" s="93"/>
      <c r="K246" s="92">
        <f t="shared" si="15"/>
        <v>4070000</v>
      </c>
    </row>
    <row r="247" spans="1:11" ht="15" x14ac:dyDescent="0.25">
      <c r="A247" s="89">
        <v>47543</v>
      </c>
      <c r="B247" s="90">
        <v>0</v>
      </c>
      <c r="C247" s="90">
        <v>0</v>
      </c>
      <c r="D247" s="90">
        <f>B251/12</f>
        <v>23333.333333333332</v>
      </c>
      <c r="E247" s="90">
        <f>C251/6</f>
        <v>18784.166666666668</v>
      </c>
      <c r="F247" s="91">
        <f t="shared" si="12"/>
        <v>42117.5</v>
      </c>
      <c r="G247" s="91"/>
      <c r="H247" s="91">
        <f t="shared" si="13"/>
        <v>339.16666666666669</v>
      </c>
      <c r="I247" s="91">
        <f t="shared" si="14"/>
        <v>42456.666666666664</v>
      </c>
      <c r="K247" s="92">
        <f t="shared" si="15"/>
        <v>4070000</v>
      </c>
    </row>
    <row r="248" spans="1:11" ht="15" x14ac:dyDescent="0.25">
      <c r="A248" s="89">
        <v>47574</v>
      </c>
      <c r="B248" s="90">
        <v>0</v>
      </c>
      <c r="C248" s="90">
        <v>0</v>
      </c>
      <c r="D248" s="90">
        <f>B251/12</f>
        <v>23333.333333333332</v>
      </c>
      <c r="E248" s="90">
        <f>C251/6</f>
        <v>18784.166666666668</v>
      </c>
      <c r="F248" s="91">
        <f t="shared" si="12"/>
        <v>42117.5</v>
      </c>
      <c r="G248" s="91"/>
      <c r="H248" s="91">
        <f t="shared" si="13"/>
        <v>339.16666666666669</v>
      </c>
      <c r="I248" s="91">
        <f t="shared" si="14"/>
        <v>42456.666666666664</v>
      </c>
      <c r="K248" s="92">
        <f t="shared" si="15"/>
        <v>4070000</v>
      </c>
    </row>
    <row r="249" spans="1:11" ht="15" x14ac:dyDescent="0.25">
      <c r="A249" s="89">
        <v>47604</v>
      </c>
      <c r="B249" s="90">
        <v>0</v>
      </c>
      <c r="C249" s="90">
        <v>0</v>
      </c>
      <c r="D249" s="90">
        <f>B251/12</f>
        <v>23333.333333333332</v>
      </c>
      <c r="E249" s="90">
        <f>C251/6</f>
        <v>18784.166666666668</v>
      </c>
      <c r="F249" s="91">
        <f t="shared" si="12"/>
        <v>42117.5</v>
      </c>
      <c r="G249" s="91"/>
      <c r="H249" s="91">
        <f t="shared" si="13"/>
        <v>339.16666666666669</v>
      </c>
      <c r="I249" s="91">
        <f t="shared" si="14"/>
        <v>42456.666666666664</v>
      </c>
      <c r="K249" s="92">
        <f t="shared" si="15"/>
        <v>4070000</v>
      </c>
    </row>
    <row r="250" spans="1:11" ht="15" x14ac:dyDescent="0.25">
      <c r="A250" s="89">
        <v>47635</v>
      </c>
      <c r="B250" s="90">
        <v>0</v>
      </c>
      <c r="C250" s="90">
        <v>0</v>
      </c>
      <c r="D250" s="90">
        <f>B251/12</f>
        <v>23333.333333333332</v>
      </c>
      <c r="E250" s="90">
        <f>C251/6</f>
        <v>18784.166666666668</v>
      </c>
      <c r="F250" s="91">
        <f t="shared" si="12"/>
        <v>42117.5</v>
      </c>
      <c r="G250" s="91"/>
      <c r="H250" s="91">
        <f t="shared" si="13"/>
        <v>339.16666666666669</v>
      </c>
      <c r="I250" s="91">
        <f t="shared" si="14"/>
        <v>42456.666666666664</v>
      </c>
      <c r="K250" s="92">
        <f t="shared" si="15"/>
        <v>4070000</v>
      </c>
    </row>
    <row r="251" spans="1:11" ht="15" x14ac:dyDescent="0.25">
      <c r="A251" s="89">
        <v>47665</v>
      </c>
      <c r="B251" s="90">
        <v>280000</v>
      </c>
      <c r="C251" s="90">
        <v>112705</v>
      </c>
      <c r="D251" s="90">
        <f>B251/12</f>
        <v>23333.333333333332</v>
      </c>
      <c r="E251" s="90">
        <f>C251/6</f>
        <v>18784.166666666668</v>
      </c>
      <c r="F251" s="91">
        <f t="shared" si="12"/>
        <v>42117.5</v>
      </c>
      <c r="G251" s="91"/>
      <c r="H251" s="91">
        <f t="shared" si="13"/>
        <v>315.83333333333331</v>
      </c>
      <c r="I251" s="91">
        <f t="shared" si="14"/>
        <v>42433.333333333336</v>
      </c>
      <c r="J251" s="90">
        <f>SUM(F240:F251)</f>
        <v>505410</v>
      </c>
      <c r="K251" s="92">
        <f t="shared" si="15"/>
        <v>4070000</v>
      </c>
    </row>
    <row r="252" spans="1:11" ht="15" x14ac:dyDescent="0.25">
      <c r="A252" s="89">
        <v>47696</v>
      </c>
      <c r="B252" s="90">
        <v>0</v>
      </c>
      <c r="C252" s="90">
        <v>0</v>
      </c>
      <c r="D252" s="90">
        <f>B263/12</f>
        <v>24583.333333333332</v>
      </c>
      <c r="E252" s="90">
        <f>C257/6</f>
        <v>17477.5</v>
      </c>
      <c r="F252" s="91">
        <f t="shared" si="12"/>
        <v>42060.833333333328</v>
      </c>
      <c r="G252" s="91"/>
      <c r="H252" s="91">
        <f t="shared" si="13"/>
        <v>315.83333333333331</v>
      </c>
      <c r="I252" s="91">
        <f t="shared" si="14"/>
        <v>42376.666666666664</v>
      </c>
      <c r="K252" s="92">
        <f t="shared" si="15"/>
        <v>3790000</v>
      </c>
    </row>
    <row r="253" spans="1:11" ht="15" x14ac:dyDescent="0.25">
      <c r="A253" s="89">
        <v>47727</v>
      </c>
      <c r="B253" s="90">
        <v>0</v>
      </c>
      <c r="C253" s="90">
        <v>0</v>
      </c>
      <c r="D253" s="90">
        <f>B263/12</f>
        <v>24583.333333333332</v>
      </c>
      <c r="E253" s="90">
        <f>C257/6</f>
        <v>17477.5</v>
      </c>
      <c r="F253" s="91">
        <f t="shared" si="12"/>
        <v>42060.833333333328</v>
      </c>
      <c r="G253" s="91"/>
      <c r="H253" s="91">
        <f t="shared" si="13"/>
        <v>315.83333333333331</v>
      </c>
      <c r="I253" s="91">
        <f t="shared" si="14"/>
        <v>42376.666666666664</v>
      </c>
      <c r="K253" s="92">
        <f t="shared" si="15"/>
        <v>3790000</v>
      </c>
    </row>
    <row r="254" spans="1:11" ht="15" x14ac:dyDescent="0.25">
      <c r="A254" s="89">
        <v>47757</v>
      </c>
      <c r="B254" s="90">
        <v>0</v>
      </c>
      <c r="C254" s="90">
        <v>0</v>
      </c>
      <c r="D254" s="90">
        <f>B263/12</f>
        <v>24583.333333333332</v>
      </c>
      <c r="E254" s="90">
        <f>C257/6</f>
        <v>17477.5</v>
      </c>
      <c r="F254" s="91">
        <f t="shared" si="12"/>
        <v>42060.833333333328</v>
      </c>
      <c r="G254" s="91"/>
      <c r="H254" s="91">
        <f t="shared" si="13"/>
        <v>315.83333333333331</v>
      </c>
      <c r="I254" s="91">
        <f t="shared" si="14"/>
        <v>42376.666666666664</v>
      </c>
      <c r="K254" s="92">
        <f t="shared" si="15"/>
        <v>3790000</v>
      </c>
    </row>
    <row r="255" spans="1:11" ht="15" x14ac:dyDescent="0.25">
      <c r="A255" s="89">
        <v>47788</v>
      </c>
      <c r="B255" s="90">
        <v>0</v>
      </c>
      <c r="C255" s="90">
        <v>0</v>
      </c>
      <c r="D255" s="90">
        <f>B263/12</f>
        <v>24583.333333333332</v>
      </c>
      <c r="E255" s="90">
        <f>C257/6</f>
        <v>17477.5</v>
      </c>
      <c r="F255" s="91">
        <f t="shared" si="12"/>
        <v>42060.833333333328</v>
      </c>
      <c r="G255" s="91"/>
      <c r="H255" s="91">
        <f t="shared" si="13"/>
        <v>315.83333333333331</v>
      </c>
      <c r="I255" s="91">
        <f t="shared" si="14"/>
        <v>42376.666666666664</v>
      </c>
      <c r="K255" s="92">
        <f t="shared" si="15"/>
        <v>3790000</v>
      </c>
    </row>
    <row r="256" spans="1:11" ht="15" x14ac:dyDescent="0.25">
      <c r="A256" s="89">
        <v>47818</v>
      </c>
      <c r="B256" s="90">
        <v>0</v>
      </c>
      <c r="C256" s="90">
        <v>0</v>
      </c>
      <c r="D256" s="90">
        <f>B263/12</f>
        <v>24583.333333333332</v>
      </c>
      <c r="E256" s="90">
        <f>C257/6</f>
        <v>17477.5</v>
      </c>
      <c r="F256" s="91">
        <f t="shared" si="12"/>
        <v>42060.833333333328</v>
      </c>
      <c r="G256" s="91"/>
      <c r="H256" s="91">
        <f t="shared" si="13"/>
        <v>315.83333333333331</v>
      </c>
      <c r="I256" s="91">
        <f t="shared" si="14"/>
        <v>42376.666666666664</v>
      </c>
      <c r="K256" s="92">
        <f t="shared" si="15"/>
        <v>3790000</v>
      </c>
    </row>
    <row r="257" spans="1:11" ht="15" x14ac:dyDescent="0.25">
      <c r="A257" s="89">
        <v>47849</v>
      </c>
      <c r="B257" s="90">
        <v>0</v>
      </c>
      <c r="C257" s="90">
        <v>104865</v>
      </c>
      <c r="D257" s="90">
        <f>B263/12</f>
        <v>24583.333333333332</v>
      </c>
      <c r="E257" s="90">
        <f>C257/6</f>
        <v>17477.5</v>
      </c>
      <c r="F257" s="91">
        <f t="shared" si="12"/>
        <v>42060.833333333328</v>
      </c>
      <c r="G257" s="91"/>
      <c r="H257" s="91">
        <f t="shared" si="13"/>
        <v>315.83333333333331</v>
      </c>
      <c r="I257" s="91">
        <f t="shared" si="14"/>
        <v>42376.666666666664</v>
      </c>
      <c r="K257" s="92">
        <f t="shared" si="15"/>
        <v>3790000</v>
      </c>
    </row>
    <row r="258" spans="1:11" ht="15" x14ac:dyDescent="0.25">
      <c r="A258" s="89">
        <v>47880</v>
      </c>
      <c r="B258" s="90">
        <v>0</v>
      </c>
      <c r="C258" s="90">
        <v>0</v>
      </c>
      <c r="D258" s="90">
        <f>B263/12</f>
        <v>24583.333333333332</v>
      </c>
      <c r="E258" s="90">
        <f>C263/6</f>
        <v>17477.5</v>
      </c>
      <c r="F258" s="91">
        <f t="shared" si="12"/>
        <v>42060.833333333328</v>
      </c>
      <c r="G258" s="91"/>
      <c r="H258" s="91">
        <f t="shared" si="13"/>
        <v>315.83333333333331</v>
      </c>
      <c r="I258" s="91">
        <f t="shared" si="14"/>
        <v>42376.666666666664</v>
      </c>
      <c r="K258" s="92">
        <f t="shared" si="15"/>
        <v>3790000</v>
      </c>
    </row>
    <row r="259" spans="1:11" ht="15" x14ac:dyDescent="0.25">
      <c r="A259" s="89">
        <v>47908</v>
      </c>
      <c r="B259" s="90">
        <v>0</v>
      </c>
      <c r="C259" s="90">
        <v>0</v>
      </c>
      <c r="D259" s="90">
        <f>B263/12</f>
        <v>24583.333333333332</v>
      </c>
      <c r="E259" s="90">
        <f>C263/6</f>
        <v>17477.5</v>
      </c>
      <c r="F259" s="91">
        <f t="shared" si="12"/>
        <v>42060.833333333328</v>
      </c>
      <c r="G259" s="91"/>
      <c r="H259" s="91">
        <f t="shared" si="13"/>
        <v>315.83333333333331</v>
      </c>
      <c r="I259" s="91">
        <f t="shared" si="14"/>
        <v>42376.666666666664</v>
      </c>
      <c r="K259" s="92">
        <f t="shared" si="15"/>
        <v>3790000</v>
      </c>
    </row>
    <row r="260" spans="1:11" ht="15" x14ac:dyDescent="0.25">
      <c r="A260" s="89">
        <v>47939</v>
      </c>
      <c r="B260" s="90">
        <v>0</v>
      </c>
      <c r="C260" s="90">
        <v>0</v>
      </c>
      <c r="D260" s="90">
        <f>B263/12</f>
        <v>24583.333333333332</v>
      </c>
      <c r="E260" s="90">
        <f>C263/6</f>
        <v>17477.5</v>
      </c>
      <c r="F260" s="91">
        <f t="shared" si="12"/>
        <v>42060.833333333328</v>
      </c>
      <c r="G260" s="91"/>
      <c r="H260" s="91">
        <f t="shared" si="13"/>
        <v>315.83333333333331</v>
      </c>
      <c r="I260" s="91">
        <f t="shared" si="14"/>
        <v>42376.666666666664</v>
      </c>
      <c r="K260" s="92">
        <f t="shared" si="15"/>
        <v>3790000</v>
      </c>
    </row>
    <row r="261" spans="1:11" ht="15" x14ac:dyDescent="0.25">
      <c r="A261" s="89">
        <v>47969</v>
      </c>
      <c r="B261" s="90">
        <v>0</v>
      </c>
      <c r="C261" s="90">
        <v>0</v>
      </c>
      <c r="D261" s="90">
        <f>B263/12</f>
        <v>24583.333333333332</v>
      </c>
      <c r="E261" s="90">
        <f>C263/6</f>
        <v>17477.5</v>
      </c>
      <c r="F261" s="91">
        <f t="shared" si="12"/>
        <v>42060.833333333328</v>
      </c>
      <c r="G261" s="91"/>
      <c r="H261" s="91">
        <f t="shared" si="13"/>
        <v>315.83333333333331</v>
      </c>
      <c r="I261" s="91">
        <f t="shared" si="14"/>
        <v>42376.666666666664</v>
      </c>
      <c r="K261" s="92">
        <f t="shared" si="15"/>
        <v>3790000</v>
      </c>
    </row>
    <row r="262" spans="1:11" ht="15" x14ac:dyDescent="0.25">
      <c r="A262" s="89">
        <v>48000</v>
      </c>
      <c r="B262" s="90">
        <v>0</v>
      </c>
      <c r="C262" s="90">
        <v>0</v>
      </c>
      <c r="D262" s="90">
        <f>B263/12</f>
        <v>24583.333333333332</v>
      </c>
      <c r="E262" s="90">
        <f>C263/6</f>
        <v>17477.5</v>
      </c>
      <c r="F262" s="91">
        <f t="shared" si="12"/>
        <v>42060.833333333328</v>
      </c>
      <c r="G262" s="91"/>
      <c r="H262" s="91">
        <f t="shared" si="13"/>
        <v>315.83333333333331</v>
      </c>
      <c r="I262" s="91">
        <f t="shared" si="14"/>
        <v>42376.666666666664</v>
      </c>
      <c r="K262" s="92">
        <f t="shared" si="15"/>
        <v>3790000</v>
      </c>
    </row>
    <row r="263" spans="1:11" ht="15" x14ac:dyDescent="0.25">
      <c r="A263" s="89">
        <v>48030</v>
      </c>
      <c r="B263" s="90">
        <v>295000</v>
      </c>
      <c r="C263" s="90">
        <v>104865</v>
      </c>
      <c r="D263" s="90">
        <f>B263/12</f>
        <v>24583.333333333332</v>
      </c>
      <c r="E263" s="90">
        <f>C263/6</f>
        <v>17477.5</v>
      </c>
      <c r="F263" s="91">
        <f t="shared" si="12"/>
        <v>42060.833333333328</v>
      </c>
      <c r="G263" s="91"/>
      <c r="H263" s="91">
        <f t="shared" si="13"/>
        <v>291.25</v>
      </c>
      <c r="I263" s="91">
        <f t="shared" si="14"/>
        <v>42352.083333333328</v>
      </c>
      <c r="J263" s="90">
        <f>SUM(F252:F263)</f>
        <v>504729.99999999983</v>
      </c>
      <c r="K263" s="92">
        <f t="shared" si="15"/>
        <v>3790000</v>
      </c>
    </row>
    <row r="264" spans="1:11" ht="15" x14ac:dyDescent="0.25">
      <c r="A264" s="89">
        <v>48061</v>
      </c>
      <c r="B264" s="90">
        <v>0</v>
      </c>
      <c r="C264" s="90">
        <v>0</v>
      </c>
      <c r="D264" s="90">
        <f>B275/12</f>
        <v>25833.333333333332</v>
      </c>
      <c r="E264" s="90">
        <f>C269/6</f>
        <v>16100.833333333334</v>
      </c>
      <c r="F264" s="91">
        <f t="shared" ref="F264:F327" si="16">D264+E264</f>
        <v>41934.166666666664</v>
      </c>
      <c r="G264" s="91"/>
      <c r="H264" s="91">
        <f t="shared" si="13"/>
        <v>291.25</v>
      </c>
      <c r="I264" s="91">
        <f t="shared" si="14"/>
        <v>42225.416666666664</v>
      </c>
      <c r="K264" s="92">
        <f t="shared" si="15"/>
        <v>3495000</v>
      </c>
    </row>
    <row r="265" spans="1:11" ht="15" x14ac:dyDescent="0.25">
      <c r="A265" s="89">
        <v>48092</v>
      </c>
      <c r="B265" s="90">
        <v>0</v>
      </c>
      <c r="C265" s="90">
        <v>0</v>
      </c>
      <c r="D265" s="90">
        <f>B275/12</f>
        <v>25833.333333333332</v>
      </c>
      <c r="E265" s="90">
        <f>C269/6</f>
        <v>16100.833333333334</v>
      </c>
      <c r="F265" s="91">
        <f t="shared" si="16"/>
        <v>41934.166666666664</v>
      </c>
      <c r="G265" s="91"/>
      <c r="H265" s="91">
        <f t="shared" ref="H265:H328" si="17">+(K266*0.001)/12</f>
        <v>291.25</v>
      </c>
      <c r="I265" s="91">
        <f t="shared" ref="I265:I328" si="18">+F265+G265+H265</f>
        <v>42225.416666666664</v>
      </c>
      <c r="K265" s="92">
        <f t="shared" si="15"/>
        <v>3495000</v>
      </c>
    </row>
    <row r="266" spans="1:11" ht="15" x14ac:dyDescent="0.25">
      <c r="A266" s="89">
        <v>48122</v>
      </c>
      <c r="B266" s="90">
        <v>0</v>
      </c>
      <c r="C266" s="90">
        <v>0</v>
      </c>
      <c r="D266" s="90">
        <f>B275/12</f>
        <v>25833.333333333332</v>
      </c>
      <c r="E266" s="90">
        <f>C269/6</f>
        <v>16100.833333333334</v>
      </c>
      <c r="F266" s="91">
        <f t="shared" si="16"/>
        <v>41934.166666666664</v>
      </c>
      <c r="G266" s="91"/>
      <c r="H266" s="91">
        <f t="shared" si="17"/>
        <v>291.25</v>
      </c>
      <c r="I266" s="91">
        <f t="shared" si="18"/>
        <v>42225.416666666664</v>
      </c>
      <c r="K266" s="92">
        <f t="shared" ref="K266:K329" si="19">+K265-B265</f>
        <v>3495000</v>
      </c>
    </row>
    <row r="267" spans="1:11" ht="15" x14ac:dyDescent="0.25">
      <c r="A267" s="89">
        <v>48153</v>
      </c>
      <c r="B267" s="90">
        <v>0</v>
      </c>
      <c r="C267" s="90">
        <v>0</v>
      </c>
      <c r="D267" s="90">
        <f>B275/12</f>
        <v>25833.333333333332</v>
      </c>
      <c r="E267" s="90">
        <f>C269/6</f>
        <v>16100.833333333334</v>
      </c>
      <c r="F267" s="91">
        <f t="shared" si="16"/>
        <v>41934.166666666664</v>
      </c>
      <c r="G267" s="91"/>
      <c r="H267" s="91">
        <f t="shared" si="17"/>
        <v>291.25</v>
      </c>
      <c r="I267" s="91">
        <f t="shared" si="18"/>
        <v>42225.416666666664</v>
      </c>
      <c r="K267" s="92">
        <f t="shared" si="19"/>
        <v>3495000</v>
      </c>
    </row>
    <row r="268" spans="1:11" ht="15" x14ac:dyDescent="0.25">
      <c r="A268" s="89">
        <v>48183</v>
      </c>
      <c r="B268" s="90">
        <v>0</v>
      </c>
      <c r="C268" s="90">
        <v>0</v>
      </c>
      <c r="D268" s="90">
        <f>B275/12</f>
        <v>25833.333333333332</v>
      </c>
      <c r="E268" s="90">
        <f>C269/6</f>
        <v>16100.833333333334</v>
      </c>
      <c r="F268" s="91">
        <f t="shared" si="16"/>
        <v>41934.166666666664</v>
      </c>
      <c r="G268" s="91"/>
      <c r="H268" s="91">
        <f t="shared" si="17"/>
        <v>291.25</v>
      </c>
      <c r="I268" s="91">
        <f t="shared" si="18"/>
        <v>42225.416666666664</v>
      </c>
      <c r="K268" s="92">
        <f t="shared" si="19"/>
        <v>3495000</v>
      </c>
    </row>
    <row r="269" spans="1:11" ht="15" x14ac:dyDescent="0.25">
      <c r="A269" s="89">
        <v>48214</v>
      </c>
      <c r="B269" s="90">
        <v>0</v>
      </c>
      <c r="C269" s="90">
        <v>96605</v>
      </c>
      <c r="D269" s="90">
        <f>B275/12</f>
        <v>25833.333333333332</v>
      </c>
      <c r="E269" s="90">
        <f>C269/6</f>
        <v>16100.833333333334</v>
      </c>
      <c r="F269" s="91">
        <f t="shared" si="16"/>
        <v>41934.166666666664</v>
      </c>
      <c r="G269" s="91"/>
      <c r="H269" s="91">
        <f t="shared" si="17"/>
        <v>291.25</v>
      </c>
      <c r="I269" s="91">
        <f t="shared" si="18"/>
        <v>42225.416666666664</v>
      </c>
      <c r="K269" s="92">
        <f t="shared" si="19"/>
        <v>3495000</v>
      </c>
    </row>
    <row r="270" spans="1:11" ht="15" x14ac:dyDescent="0.25">
      <c r="A270" s="89">
        <v>48245</v>
      </c>
      <c r="B270" s="90">
        <v>0</v>
      </c>
      <c r="C270" s="90">
        <v>0</v>
      </c>
      <c r="D270" s="90">
        <f>B275/12</f>
        <v>25833.333333333332</v>
      </c>
      <c r="E270" s="90">
        <f>C275/6</f>
        <v>16100.833333333334</v>
      </c>
      <c r="F270" s="91">
        <f t="shared" si="16"/>
        <v>41934.166666666664</v>
      </c>
      <c r="G270" s="91"/>
      <c r="H270" s="91">
        <f t="shared" si="17"/>
        <v>291.25</v>
      </c>
      <c r="I270" s="91">
        <f t="shared" si="18"/>
        <v>42225.416666666664</v>
      </c>
      <c r="J270" s="93"/>
      <c r="K270" s="92">
        <f t="shared" si="19"/>
        <v>3495000</v>
      </c>
    </row>
    <row r="271" spans="1:11" ht="15" x14ac:dyDescent="0.25">
      <c r="A271" s="89">
        <v>48274</v>
      </c>
      <c r="B271" s="90">
        <v>0</v>
      </c>
      <c r="C271" s="90">
        <v>0</v>
      </c>
      <c r="D271" s="90">
        <f>B275/12</f>
        <v>25833.333333333332</v>
      </c>
      <c r="E271" s="90">
        <f>C275/6</f>
        <v>16100.833333333334</v>
      </c>
      <c r="F271" s="91">
        <f t="shared" si="16"/>
        <v>41934.166666666664</v>
      </c>
      <c r="G271" s="91"/>
      <c r="H271" s="91">
        <f t="shared" si="17"/>
        <v>291.25</v>
      </c>
      <c r="I271" s="91">
        <f t="shared" si="18"/>
        <v>42225.416666666664</v>
      </c>
      <c r="K271" s="92">
        <f t="shared" si="19"/>
        <v>3495000</v>
      </c>
    </row>
    <row r="272" spans="1:11" ht="15" x14ac:dyDescent="0.25">
      <c r="A272" s="89">
        <v>48305</v>
      </c>
      <c r="B272" s="90">
        <v>0</v>
      </c>
      <c r="C272" s="90">
        <v>0</v>
      </c>
      <c r="D272" s="90">
        <f>B275/12</f>
        <v>25833.333333333332</v>
      </c>
      <c r="E272" s="90">
        <f>C275/6</f>
        <v>16100.833333333334</v>
      </c>
      <c r="F272" s="91">
        <f t="shared" si="16"/>
        <v>41934.166666666664</v>
      </c>
      <c r="G272" s="91"/>
      <c r="H272" s="91">
        <f t="shared" si="17"/>
        <v>291.25</v>
      </c>
      <c r="I272" s="91">
        <f t="shared" si="18"/>
        <v>42225.416666666664</v>
      </c>
      <c r="K272" s="92">
        <f t="shared" si="19"/>
        <v>3495000</v>
      </c>
    </row>
    <row r="273" spans="1:11" ht="15" x14ac:dyDescent="0.25">
      <c r="A273" s="89">
        <v>48335</v>
      </c>
      <c r="B273" s="90">
        <v>0</v>
      </c>
      <c r="C273" s="90">
        <v>0</v>
      </c>
      <c r="D273" s="90">
        <f>B275/12</f>
        <v>25833.333333333332</v>
      </c>
      <c r="E273" s="90">
        <f>C275/6</f>
        <v>16100.833333333334</v>
      </c>
      <c r="F273" s="91">
        <f t="shared" si="16"/>
        <v>41934.166666666664</v>
      </c>
      <c r="G273" s="91"/>
      <c r="H273" s="91">
        <f t="shared" si="17"/>
        <v>291.25</v>
      </c>
      <c r="I273" s="91">
        <f t="shared" si="18"/>
        <v>42225.416666666664</v>
      </c>
      <c r="K273" s="92">
        <f t="shared" si="19"/>
        <v>3495000</v>
      </c>
    </row>
    <row r="274" spans="1:11" ht="15" x14ac:dyDescent="0.25">
      <c r="A274" s="89">
        <v>48366</v>
      </c>
      <c r="B274" s="90">
        <v>0</v>
      </c>
      <c r="C274" s="90">
        <v>0</v>
      </c>
      <c r="D274" s="90">
        <f>B275/12</f>
        <v>25833.333333333332</v>
      </c>
      <c r="E274" s="90">
        <f>C275/6</f>
        <v>16100.833333333334</v>
      </c>
      <c r="F274" s="91">
        <f t="shared" si="16"/>
        <v>41934.166666666664</v>
      </c>
      <c r="G274" s="91"/>
      <c r="H274" s="91">
        <f t="shared" si="17"/>
        <v>291.25</v>
      </c>
      <c r="I274" s="91">
        <f t="shared" si="18"/>
        <v>42225.416666666664</v>
      </c>
      <c r="K274" s="92">
        <f t="shared" si="19"/>
        <v>3495000</v>
      </c>
    </row>
    <row r="275" spans="1:11" ht="15" x14ac:dyDescent="0.25">
      <c r="A275" s="89">
        <v>48396</v>
      </c>
      <c r="B275" s="90">
        <v>310000</v>
      </c>
      <c r="C275" s="90">
        <v>96605</v>
      </c>
      <c r="D275" s="90">
        <f>B275/12</f>
        <v>25833.333333333332</v>
      </c>
      <c r="E275" s="90">
        <f>C275/6</f>
        <v>16100.833333333334</v>
      </c>
      <c r="F275" s="91">
        <f t="shared" si="16"/>
        <v>41934.166666666664</v>
      </c>
      <c r="G275" s="91"/>
      <c r="H275" s="91">
        <f t="shared" si="17"/>
        <v>265.41666666666669</v>
      </c>
      <c r="I275" s="91">
        <f t="shared" si="18"/>
        <v>42199.583333333328</v>
      </c>
      <c r="J275" s="90">
        <f>SUM(F264:F275)</f>
        <v>503210.00000000006</v>
      </c>
      <c r="K275" s="92">
        <f t="shared" si="19"/>
        <v>3495000</v>
      </c>
    </row>
    <row r="276" spans="1:11" ht="15" x14ac:dyDescent="0.25">
      <c r="A276" s="89">
        <v>48427</v>
      </c>
      <c r="B276" s="90">
        <v>0</v>
      </c>
      <c r="C276" s="90">
        <v>0</v>
      </c>
      <c r="D276" s="90">
        <f>B287/12</f>
        <v>27500</v>
      </c>
      <c r="E276" s="90">
        <f>C281/6</f>
        <v>14654.166666666666</v>
      </c>
      <c r="F276" s="91">
        <f t="shared" si="16"/>
        <v>42154.166666666664</v>
      </c>
      <c r="G276" s="91"/>
      <c r="H276" s="91">
        <f t="shared" si="17"/>
        <v>265.41666666666669</v>
      </c>
      <c r="I276" s="91">
        <f t="shared" si="18"/>
        <v>42419.583333333328</v>
      </c>
      <c r="K276" s="92">
        <f t="shared" si="19"/>
        <v>3185000</v>
      </c>
    </row>
    <row r="277" spans="1:11" ht="15" x14ac:dyDescent="0.25">
      <c r="A277" s="89">
        <v>48458</v>
      </c>
      <c r="B277" s="90">
        <v>0</v>
      </c>
      <c r="C277" s="90">
        <v>0</v>
      </c>
      <c r="D277" s="90">
        <f>B287/12</f>
        <v>27500</v>
      </c>
      <c r="E277" s="90">
        <f>C281/6</f>
        <v>14654.166666666666</v>
      </c>
      <c r="F277" s="91">
        <f t="shared" si="16"/>
        <v>42154.166666666664</v>
      </c>
      <c r="G277" s="91"/>
      <c r="H277" s="91">
        <f t="shared" si="17"/>
        <v>265.41666666666669</v>
      </c>
      <c r="I277" s="91">
        <f t="shared" si="18"/>
        <v>42419.583333333328</v>
      </c>
      <c r="K277" s="92">
        <f t="shared" si="19"/>
        <v>3185000</v>
      </c>
    </row>
    <row r="278" spans="1:11" ht="15" x14ac:dyDescent="0.25">
      <c r="A278" s="89">
        <v>48488</v>
      </c>
      <c r="B278" s="90">
        <v>0</v>
      </c>
      <c r="C278" s="90">
        <v>0</v>
      </c>
      <c r="D278" s="90">
        <f>B287/12</f>
        <v>27500</v>
      </c>
      <c r="E278" s="90">
        <f>C281/6</f>
        <v>14654.166666666666</v>
      </c>
      <c r="F278" s="91">
        <f t="shared" si="16"/>
        <v>42154.166666666664</v>
      </c>
      <c r="G278" s="91"/>
      <c r="H278" s="91">
        <f t="shared" si="17"/>
        <v>265.41666666666669</v>
      </c>
      <c r="I278" s="91">
        <f t="shared" si="18"/>
        <v>42419.583333333328</v>
      </c>
      <c r="K278" s="92">
        <f t="shared" si="19"/>
        <v>3185000</v>
      </c>
    </row>
    <row r="279" spans="1:11" ht="15" x14ac:dyDescent="0.25">
      <c r="A279" s="89">
        <v>48519</v>
      </c>
      <c r="B279" s="90">
        <v>0</v>
      </c>
      <c r="C279" s="90">
        <v>0</v>
      </c>
      <c r="D279" s="90">
        <f>B287/12</f>
        <v>27500</v>
      </c>
      <c r="E279" s="90">
        <f>C281/6</f>
        <v>14654.166666666666</v>
      </c>
      <c r="F279" s="91">
        <f t="shared" si="16"/>
        <v>42154.166666666664</v>
      </c>
      <c r="G279" s="91"/>
      <c r="H279" s="91">
        <f t="shared" si="17"/>
        <v>265.41666666666669</v>
      </c>
      <c r="I279" s="91">
        <f t="shared" si="18"/>
        <v>42419.583333333328</v>
      </c>
      <c r="K279" s="92">
        <f t="shared" si="19"/>
        <v>3185000</v>
      </c>
    </row>
    <row r="280" spans="1:11" ht="15" x14ac:dyDescent="0.25">
      <c r="A280" s="89">
        <v>48549</v>
      </c>
      <c r="B280" s="90">
        <v>0</v>
      </c>
      <c r="C280" s="90">
        <v>0</v>
      </c>
      <c r="D280" s="90">
        <f>B287/12</f>
        <v>27500</v>
      </c>
      <c r="E280" s="90">
        <f>C281/6</f>
        <v>14654.166666666666</v>
      </c>
      <c r="F280" s="91">
        <f t="shared" si="16"/>
        <v>42154.166666666664</v>
      </c>
      <c r="G280" s="91"/>
      <c r="H280" s="91">
        <f t="shared" si="17"/>
        <v>265.41666666666669</v>
      </c>
      <c r="I280" s="91">
        <f t="shared" si="18"/>
        <v>42419.583333333328</v>
      </c>
      <c r="K280" s="92">
        <f t="shared" si="19"/>
        <v>3185000</v>
      </c>
    </row>
    <row r="281" spans="1:11" ht="15" x14ac:dyDescent="0.25">
      <c r="A281" s="89">
        <v>48580</v>
      </c>
      <c r="B281" s="90">
        <v>0</v>
      </c>
      <c r="C281" s="90">
        <v>87925</v>
      </c>
      <c r="D281" s="90">
        <f>B287/12</f>
        <v>27500</v>
      </c>
      <c r="E281" s="90">
        <f>C281/6</f>
        <v>14654.166666666666</v>
      </c>
      <c r="F281" s="91">
        <f t="shared" si="16"/>
        <v>42154.166666666664</v>
      </c>
      <c r="G281" s="91"/>
      <c r="H281" s="91">
        <f t="shared" si="17"/>
        <v>265.41666666666669</v>
      </c>
      <c r="I281" s="91">
        <f t="shared" si="18"/>
        <v>42419.583333333328</v>
      </c>
      <c r="K281" s="92">
        <f t="shared" si="19"/>
        <v>3185000</v>
      </c>
    </row>
    <row r="282" spans="1:11" ht="15" x14ac:dyDescent="0.25">
      <c r="A282" s="89">
        <v>48611</v>
      </c>
      <c r="B282" s="90">
        <v>0</v>
      </c>
      <c r="C282" s="90">
        <v>0</v>
      </c>
      <c r="D282" s="90">
        <f>B287/12</f>
        <v>27500</v>
      </c>
      <c r="E282" s="90">
        <f>C287/6</f>
        <v>14654.166666666666</v>
      </c>
      <c r="F282" s="91">
        <f t="shared" si="16"/>
        <v>42154.166666666664</v>
      </c>
      <c r="G282" s="91"/>
      <c r="H282" s="91">
        <f t="shared" si="17"/>
        <v>265.41666666666669</v>
      </c>
      <c r="I282" s="91">
        <f t="shared" si="18"/>
        <v>42419.583333333328</v>
      </c>
      <c r="K282" s="92">
        <f t="shared" si="19"/>
        <v>3185000</v>
      </c>
    </row>
    <row r="283" spans="1:11" ht="15" x14ac:dyDescent="0.25">
      <c r="A283" s="89">
        <v>48639</v>
      </c>
      <c r="B283" s="90">
        <v>0</v>
      </c>
      <c r="C283" s="90">
        <v>0</v>
      </c>
      <c r="D283" s="90">
        <f>B287/12</f>
        <v>27500</v>
      </c>
      <c r="E283" s="90">
        <f>C287/6</f>
        <v>14654.166666666666</v>
      </c>
      <c r="F283" s="91">
        <f t="shared" si="16"/>
        <v>42154.166666666664</v>
      </c>
      <c r="G283" s="91"/>
      <c r="H283" s="91">
        <f t="shared" si="17"/>
        <v>265.41666666666669</v>
      </c>
      <c r="I283" s="91">
        <f t="shared" si="18"/>
        <v>42419.583333333328</v>
      </c>
      <c r="K283" s="92">
        <f t="shared" si="19"/>
        <v>3185000</v>
      </c>
    </row>
    <row r="284" spans="1:11" ht="15" x14ac:dyDescent="0.25">
      <c r="A284" s="89">
        <v>48670</v>
      </c>
      <c r="B284" s="90">
        <v>0</v>
      </c>
      <c r="C284" s="90">
        <v>0</v>
      </c>
      <c r="D284" s="90">
        <f>B287/12</f>
        <v>27500</v>
      </c>
      <c r="E284" s="90">
        <f>C287/6</f>
        <v>14654.166666666666</v>
      </c>
      <c r="F284" s="91">
        <f t="shared" si="16"/>
        <v>42154.166666666664</v>
      </c>
      <c r="G284" s="91"/>
      <c r="H284" s="91">
        <f t="shared" si="17"/>
        <v>265.41666666666669</v>
      </c>
      <c r="I284" s="91">
        <f t="shared" si="18"/>
        <v>42419.583333333328</v>
      </c>
      <c r="K284" s="92">
        <f t="shared" si="19"/>
        <v>3185000</v>
      </c>
    </row>
    <row r="285" spans="1:11" ht="15" x14ac:dyDescent="0.25">
      <c r="A285" s="89">
        <v>48700</v>
      </c>
      <c r="B285" s="90">
        <v>0</v>
      </c>
      <c r="C285" s="90">
        <v>0</v>
      </c>
      <c r="D285" s="90">
        <f>B287/12</f>
        <v>27500</v>
      </c>
      <c r="E285" s="90">
        <f>C287/6</f>
        <v>14654.166666666666</v>
      </c>
      <c r="F285" s="91">
        <f t="shared" si="16"/>
        <v>42154.166666666664</v>
      </c>
      <c r="G285" s="91"/>
      <c r="H285" s="91">
        <f t="shared" si="17"/>
        <v>265.41666666666669</v>
      </c>
      <c r="I285" s="91">
        <f t="shared" si="18"/>
        <v>42419.583333333328</v>
      </c>
      <c r="K285" s="92">
        <f t="shared" si="19"/>
        <v>3185000</v>
      </c>
    </row>
    <row r="286" spans="1:11" ht="15" x14ac:dyDescent="0.25">
      <c r="A286" s="89">
        <v>48731</v>
      </c>
      <c r="B286" s="90">
        <v>0</v>
      </c>
      <c r="C286" s="90">
        <v>0</v>
      </c>
      <c r="D286" s="90">
        <f>B287/12</f>
        <v>27500</v>
      </c>
      <c r="E286" s="90">
        <f>C287/6</f>
        <v>14654.166666666666</v>
      </c>
      <c r="F286" s="91">
        <f t="shared" si="16"/>
        <v>42154.166666666664</v>
      </c>
      <c r="G286" s="91"/>
      <c r="H286" s="91">
        <f t="shared" si="17"/>
        <v>265.41666666666669</v>
      </c>
      <c r="I286" s="91">
        <f t="shared" si="18"/>
        <v>42419.583333333328</v>
      </c>
      <c r="K286" s="92">
        <f t="shared" si="19"/>
        <v>3185000</v>
      </c>
    </row>
    <row r="287" spans="1:11" ht="15" x14ac:dyDescent="0.25">
      <c r="A287" s="89">
        <v>48761</v>
      </c>
      <c r="B287" s="90">
        <v>330000</v>
      </c>
      <c r="C287" s="90">
        <v>87925</v>
      </c>
      <c r="D287" s="90">
        <f>B287/12</f>
        <v>27500</v>
      </c>
      <c r="E287" s="90">
        <f>C287/6</f>
        <v>14654.166666666666</v>
      </c>
      <c r="F287" s="91">
        <f t="shared" si="16"/>
        <v>42154.166666666664</v>
      </c>
      <c r="G287" s="91"/>
      <c r="H287" s="91">
        <f t="shared" si="17"/>
        <v>237.91666666666666</v>
      </c>
      <c r="I287" s="91">
        <f t="shared" si="18"/>
        <v>42392.083333333328</v>
      </c>
      <c r="J287" s="90">
        <f>SUM(F276:F287)</f>
        <v>505850.00000000006</v>
      </c>
      <c r="K287" s="92">
        <f t="shared" si="19"/>
        <v>3185000</v>
      </c>
    </row>
    <row r="288" spans="1:11" ht="15" x14ac:dyDescent="0.25">
      <c r="A288" s="89">
        <v>48792</v>
      </c>
      <c r="B288" s="90">
        <v>0</v>
      </c>
      <c r="C288" s="90">
        <v>0</v>
      </c>
      <c r="D288" s="90">
        <f>B299/12</f>
        <v>28750</v>
      </c>
      <c r="E288" s="90">
        <f>C293/6</f>
        <v>13114.166666666666</v>
      </c>
      <c r="F288" s="91">
        <f t="shared" si="16"/>
        <v>41864.166666666664</v>
      </c>
      <c r="G288" s="91"/>
      <c r="H288" s="91">
        <f t="shared" si="17"/>
        <v>237.91666666666666</v>
      </c>
      <c r="I288" s="91">
        <f t="shared" si="18"/>
        <v>42102.083333333328</v>
      </c>
      <c r="K288" s="92">
        <f t="shared" si="19"/>
        <v>2855000</v>
      </c>
    </row>
    <row r="289" spans="1:11" ht="15" x14ac:dyDescent="0.25">
      <c r="A289" s="89">
        <v>48823</v>
      </c>
      <c r="B289" s="90">
        <v>0</v>
      </c>
      <c r="C289" s="90">
        <v>0</v>
      </c>
      <c r="D289" s="90">
        <f>B299/12</f>
        <v>28750</v>
      </c>
      <c r="E289" s="90">
        <f>C293/6</f>
        <v>13114.166666666666</v>
      </c>
      <c r="F289" s="91">
        <f t="shared" si="16"/>
        <v>41864.166666666664</v>
      </c>
      <c r="G289" s="91"/>
      <c r="H289" s="91">
        <f t="shared" si="17"/>
        <v>237.91666666666666</v>
      </c>
      <c r="I289" s="91">
        <f t="shared" si="18"/>
        <v>42102.083333333328</v>
      </c>
      <c r="K289" s="92">
        <f t="shared" si="19"/>
        <v>2855000</v>
      </c>
    </row>
    <row r="290" spans="1:11" ht="15" x14ac:dyDescent="0.25">
      <c r="A290" s="89">
        <v>48853</v>
      </c>
      <c r="B290" s="90">
        <v>0</v>
      </c>
      <c r="C290" s="90">
        <v>0</v>
      </c>
      <c r="D290" s="90">
        <f>B299/12</f>
        <v>28750</v>
      </c>
      <c r="E290" s="90">
        <f>C293/6</f>
        <v>13114.166666666666</v>
      </c>
      <c r="F290" s="91">
        <f t="shared" si="16"/>
        <v>41864.166666666664</v>
      </c>
      <c r="G290" s="91"/>
      <c r="H290" s="91">
        <f t="shared" si="17"/>
        <v>237.91666666666666</v>
      </c>
      <c r="I290" s="91">
        <f t="shared" si="18"/>
        <v>42102.083333333328</v>
      </c>
      <c r="K290" s="92">
        <f t="shared" si="19"/>
        <v>2855000</v>
      </c>
    </row>
    <row r="291" spans="1:11" ht="15" x14ac:dyDescent="0.25">
      <c r="A291" s="89">
        <v>48884</v>
      </c>
      <c r="B291" s="90">
        <v>0</v>
      </c>
      <c r="C291" s="90">
        <v>0</v>
      </c>
      <c r="D291" s="90">
        <f>B299/12</f>
        <v>28750</v>
      </c>
      <c r="E291" s="90">
        <f>C293/6</f>
        <v>13114.166666666666</v>
      </c>
      <c r="F291" s="91">
        <f t="shared" si="16"/>
        <v>41864.166666666664</v>
      </c>
      <c r="G291" s="91"/>
      <c r="H291" s="91">
        <f t="shared" si="17"/>
        <v>237.91666666666666</v>
      </c>
      <c r="I291" s="91">
        <f t="shared" si="18"/>
        <v>42102.083333333328</v>
      </c>
      <c r="K291" s="92">
        <f t="shared" si="19"/>
        <v>2855000</v>
      </c>
    </row>
    <row r="292" spans="1:11" ht="15" x14ac:dyDescent="0.25">
      <c r="A292" s="89">
        <v>48914</v>
      </c>
      <c r="B292" s="90">
        <v>0</v>
      </c>
      <c r="C292" s="90">
        <v>0</v>
      </c>
      <c r="D292" s="90">
        <f>B299/12</f>
        <v>28750</v>
      </c>
      <c r="E292" s="90">
        <f>C293/6</f>
        <v>13114.166666666666</v>
      </c>
      <c r="F292" s="91">
        <f t="shared" si="16"/>
        <v>41864.166666666664</v>
      </c>
      <c r="G292" s="91"/>
      <c r="H292" s="91">
        <f t="shared" si="17"/>
        <v>237.91666666666666</v>
      </c>
      <c r="I292" s="91">
        <f t="shared" si="18"/>
        <v>42102.083333333328</v>
      </c>
      <c r="K292" s="92">
        <f t="shared" si="19"/>
        <v>2855000</v>
      </c>
    </row>
    <row r="293" spans="1:11" ht="15" x14ac:dyDescent="0.25">
      <c r="A293" s="89">
        <v>48945</v>
      </c>
      <c r="B293" s="90">
        <v>0</v>
      </c>
      <c r="C293" s="90">
        <v>78685</v>
      </c>
      <c r="D293" s="90">
        <f>B299/12</f>
        <v>28750</v>
      </c>
      <c r="E293" s="90">
        <f>C293/6</f>
        <v>13114.166666666666</v>
      </c>
      <c r="F293" s="91">
        <f t="shared" si="16"/>
        <v>41864.166666666664</v>
      </c>
      <c r="G293" s="91"/>
      <c r="H293" s="91">
        <f t="shared" si="17"/>
        <v>237.91666666666666</v>
      </c>
      <c r="I293" s="91">
        <f t="shared" si="18"/>
        <v>42102.083333333328</v>
      </c>
      <c r="K293" s="92">
        <f t="shared" si="19"/>
        <v>2855000</v>
      </c>
    </row>
    <row r="294" spans="1:11" ht="15" x14ac:dyDescent="0.25">
      <c r="A294" s="89">
        <v>48976</v>
      </c>
      <c r="B294" s="90">
        <v>0</v>
      </c>
      <c r="C294" s="90">
        <v>0</v>
      </c>
      <c r="D294" s="90">
        <f>B299/12</f>
        <v>28750</v>
      </c>
      <c r="E294" s="90">
        <f>C299/6</f>
        <v>13114.166666666666</v>
      </c>
      <c r="F294" s="91">
        <f t="shared" si="16"/>
        <v>41864.166666666664</v>
      </c>
      <c r="G294" s="91"/>
      <c r="H294" s="91">
        <f t="shared" si="17"/>
        <v>237.91666666666666</v>
      </c>
      <c r="I294" s="91">
        <f t="shared" si="18"/>
        <v>42102.083333333328</v>
      </c>
      <c r="J294" s="93"/>
      <c r="K294" s="92">
        <f t="shared" si="19"/>
        <v>2855000</v>
      </c>
    </row>
    <row r="295" spans="1:11" ht="15" x14ac:dyDescent="0.25">
      <c r="A295" s="89">
        <v>49004</v>
      </c>
      <c r="B295" s="90">
        <v>0</v>
      </c>
      <c r="C295" s="90">
        <v>0</v>
      </c>
      <c r="D295" s="90">
        <f>B299/12</f>
        <v>28750</v>
      </c>
      <c r="E295" s="90">
        <f>C299/6</f>
        <v>13114.166666666666</v>
      </c>
      <c r="F295" s="91">
        <f t="shared" si="16"/>
        <v>41864.166666666664</v>
      </c>
      <c r="G295" s="91"/>
      <c r="H295" s="91">
        <f t="shared" si="17"/>
        <v>237.91666666666666</v>
      </c>
      <c r="I295" s="91">
        <f t="shared" si="18"/>
        <v>42102.083333333328</v>
      </c>
      <c r="K295" s="92">
        <f t="shared" si="19"/>
        <v>2855000</v>
      </c>
    </row>
    <row r="296" spans="1:11" ht="15" x14ac:dyDescent="0.25">
      <c r="A296" s="89">
        <v>49035</v>
      </c>
      <c r="B296" s="90">
        <v>0</v>
      </c>
      <c r="C296" s="90">
        <v>0</v>
      </c>
      <c r="D296" s="90">
        <f>B299/12</f>
        <v>28750</v>
      </c>
      <c r="E296" s="90">
        <f>C299/6</f>
        <v>13114.166666666666</v>
      </c>
      <c r="F296" s="91">
        <f t="shared" si="16"/>
        <v>41864.166666666664</v>
      </c>
      <c r="G296" s="91"/>
      <c r="H296" s="91">
        <f t="shared" si="17"/>
        <v>237.91666666666666</v>
      </c>
      <c r="I296" s="91">
        <f t="shared" si="18"/>
        <v>42102.083333333328</v>
      </c>
      <c r="K296" s="92">
        <f t="shared" si="19"/>
        <v>2855000</v>
      </c>
    </row>
    <row r="297" spans="1:11" ht="15" x14ac:dyDescent="0.25">
      <c r="A297" s="89">
        <v>49065</v>
      </c>
      <c r="B297" s="90">
        <v>0</v>
      </c>
      <c r="C297" s="90">
        <v>0</v>
      </c>
      <c r="D297" s="90">
        <f>B299/12</f>
        <v>28750</v>
      </c>
      <c r="E297" s="90">
        <f>C299/6</f>
        <v>13114.166666666666</v>
      </c>
      <c r="F297" s="91">
        <f t="shared" si="16"/>
        <v>41864.166666666664</v>
      </c>
      <c r="G297" s="91"/>
      <c r="H297" s="91">
        <f t="shared" si="17"/>
        <v>237.91666666666666</v>
      </c>
      <c r="I297" s="91">
        <f t="shared" si="18"/>
        <v>42102.083333333328</v>
      </c>
      <c r="K297" s="92">
        <f t="shared" si="19"/>
        <v>2855000</v>
      </c>
    </row>
    <row r="298" spans="1:11" ht="15" x14ac:dyDescent="0.25">
      <c r="A298" s="89">
        <v>49096</v>
      </c>
      <c r="B298" s="90">
        <v>0</v>
      </c>
      <c r="C298" s="90">
        <v>0</v>
      </c>
      <c r="D298" s="90">
        <f>B299/12</f>
        <v>28750</v>
      </c>
      <c r="E298" s="90">
        <f>C299/6</f>
        <v>13114.166666666666</v>
      </c>
      <c r="F298" s="91">
        <f t="shared" si="16"/>
        <v>41864.166666666664</v>
      </c>
      <c r="G298" s="91"/>
      <c r="H298" s="91">
        <f t="shared" si="17"/>
        <v>237.91666666666666</v>
      </c>
      <c r="I298" s="91">
        <f t="shared" si="18"/>
        <v>42102.083333333328</v>
      </c>
      <c r="K298" s="92">
        <f t="shared" si="19"/>
        <v>2855000</v>
      </c>
    </row>
    <row r="299" spans="1:11" ht="15" x14ac:dyDescent="0.25">
      <c r="A299" s="89">
        <v>49126</v>
      </c>
      <c r="B299" s="90">
        <v>345000</v>
      </c>
      <c r="C299" s="90">
        <v>78685</v>
      </c>
      <c r="D299" s="90">
        <f>B299/12</f>
        <v>28750</v>
      </c>
      <c r="E299" s="90">
        <f>C299/6</f>
        <v>13114.166666666666</v>
      </c>
      <c r="F299" s="91">
        <f t="shared" si="16"/>
        <v>41864.166666666664</v>
      </c>
      <c r="G299" s="91"/>
      <c r="H299" s="91">
        <f t="shared" si="17"/>
        <v>209.16666666666666</v>
      </c>
      <c r="I299" s="91">
        <f t="shared" si="18"/>
        <v>42073.333333333328</v>
      </c>
      <c r="J299" s="90">
        <f>SUM(F288:F299)</f>
        <v>502370.00000000006</v>
      </c>
      <c r="K299" s="92">
        <f t="shared" si="19"/>
        <v>2855000</v>
      </c>
    </row>
    <row r="300" spans="1:11" ht="15" x14ac:dyDescent="0.25">
      <c r="A300" s="89">
        <v>49157</v>
      </c>
      <c r="B300" s="90">
        <v>0</v>
      </c>
      <c r="C300" s="90">
        <v>0</v>
      </c>
      <c r="D300" s="90">
        <f>B311/12</f>
        <v>30416.666666666668</v>
      </c>
      <c r="E300" s="90">
        <f>C305/6</f>
        <v>11504.166666666666</v>
      </c>
      <c r="F300" s="91">
        <f t="shared" si="16"/>
        <v>41920.833333333336</v>
      </c>
      <c r="G300" s="91"/>
      <c r="H300" s="91">
        <f t="shared" si="17"/>
        <v>209.16666666666666</v>
      </c>
      <c r="I300" s="91">
        <f t="shared" si="18"/>
        <v>42130</v>
      </c>
      <c r="K300" s="92">
        <f t="shared" si="19"/>
        <v>2510000</v>
      </c>
    </row>
    <row r="301" spans="1:11" ht="15" x14ac:dyDescent="0.25">
      <c r="A301" s="89">
        <v>49188</v>
      </c>
      <c r="B301" s="90">
        <v>0</v>
      </c>
      <c r="C301" s="90">
        <v>0</v>
      </c>
      <c r="D301" s="90">
        <f>B311/12</f>
        <v>30416.666666666668</v>
      </c>
      <c r="E301" s="90">
        <f>C305/6</f>
        <v>11504.166666666666</v>
      </c>
      <c r="F301" s="91">
        <f t="shared" si="16"/>
        <v>41920.833333333336</v>
      </c>
      <c r="G301" s="91"/>
      <c r="H301" s="91">
        <f t="shared" si="17"/>
        <v>209.16666666666666</v>
      </c>
      <c r="I301" s="91">
        <f t="shared" si="18"/>
        <v>42130</v>
      </c>
      <c r="K301" s="92">
        <f t="shared" si="19"/>
        <v>2510000</v>
      </c>
    </row>
    <row r="302" spans="1:11" ht="15" x14ac:dyDescent="0.25">
      <c r="A302" s="89">
        <v>49218</v>
      </c>
      <c r="B302" s="90">
        <v>0</v>
      </c>
      <c r="C302" s="90">
        <v>0</v>
      </c>
      <c r="D302" s="90">
        <f>B311/12</f>
        <v>30416.666666666668</v>
      </c>
      <c r="E302" s="90">
        <f>C305/6</f>
        <v>11504.166666666666</v>
      </c>
      <c r="F302" s="91">
        <f t="shared" si="16"/>
        <v>41920.833333333336</v>
      </c>
      <c r="G302" s="91"/>
      <c r="H302" s="91">
        <f t="shared" si="17"/>
        <v>209.16666666666666</v>
      </c>
      <c r="I302" s="91">
        <f t="shared" si="18"/>
        <v>42130</v>
      </c>
      <c r="K302" s="92">
        <f t="shared" si="19"/>
        <v>2510000</v>
      </c>
    </row>
    <row r="303" spans="1:11" ht="15" x14ac:dyDescent="0.25">
      <c r="A303" s="89">
        <v>49249</v>
      </c>
      <c r="B303" s="90">
        <v>0</v>
      </c>
      <c r="C303" s="90">
        <v>0</v>
      </c>
      <c r="D303" s="90">
        <f>B311/12</f>
        <v>30416.666666666668</v>
      </c>
      <c r="E303" s="90">
        <f>C305/6</f>
        <v>11504.166666666666</v>
      </c>
      <c r="F303" s="91">
        <f t="shared" si="16"/>
        <v>41920.833333333336</v>
      </c>
      <c r="G303" s="91"/>
      <c r="H303" s="91">
        <f t="shared" si="17"/>
        <v>209.16666666666666</v>
      </c>
      <c r="I303" s="91">
        <f t="shared" si="18"/>
        <v>42130</v>
      </c>
      <c r="K303" s="92">
        <f t="shared" si="19"/>
        <v>2510000</v>
      </c>
    </row>
    <row r="304" spans="1:11" ht="15" x14ac:dyDescent="0.25">
      <c r="A304" s="89">
        <v>49279</v>
      </c>
      <c r="B304" s="90">
        <v>0</v>
      </c>
      <c r="C304" s="90">
        <v>0</v>
      </c>
      <c r="D304" s="90">
        <f>B311/12</f>
        <v>30416.666666666668</v>
      </c>
      <c r="E304" s="90">
        <f>C305/6</f>
        <v>11504.166666666666</v>
      </c>
      <c r="F304" s="91">
        <f t="shared" si="16"/>
        <v>41920.833333333336</v>
      </c>
      <c r="G304" s="91"/>
      <c r="H304" s="91">
        <f t="shared" si="17"/>
        <v>209.16666666666666</v>
      </c>
      <c r="I304" s="91">
        <f t="shared" si="18"/>
        <v>42130</v>
      </c>
      <c r="K304" s="92">
        <f t="shared" si="19"/>
        <v>2510000</v>
      </c>
    </row>
    <row r="305" spans="1:11" ht="15" x14ac:dyDescent="0.25">
      <c r="A305" s="89">
        <v>49310</v>
      </c>
      <c r="B305" s="90">
        <v>0</v>
      </c>
      <c r="C305" s="90">
        <v>69025</v>
      </c>
      <c r="D305" s="90">
        <f>B311/12</f>
        <v>30416.666666666668</v>
      </c>
      <c r="E305" s="90">
        <f>C305/6</f>
        <v>11504.166666666666</v>
      </c>
      <c r="F305" s="91">
        <f t="shared" si="16"/>
        <v>41920.833333333336</v>
      </c>
      <c r="G305" s="91"/>
      <c r="H305" s="91">
        <f t="shared" si="17"/>
        <v>209.16666666666666</v>
      </c>
      <c r="I305" s="91">
        <f t="shared" si="18"/>
        <v>42130</v>
      </c>
      <c r="K305" s="92">
        <f t="shared" si="19"/>
        <v>2510000</v>
      </c>
    </row>
    <row r="306" spans="1:11" ht="15" x14ac:dyDescent="0.25">
      <c r="A306" s="89">
        <v>49341</v>
      </c>
      <c r="B306" s="90">
        <v>0</v>
      </c>
      <c r="C306" s="90">
        <v>0</v>
      </c>
      <c r="D306" s="90">
        <f>B311/12</f>
        <v>30416.666666666668</v>
      </c>
      <c r="E306" s="90">
        <f>C311/6</f>
        <v>11504.166666666666</v>
      </c>
      <c r="F306" s="91">
        <f t="shared" si="16"/>
        <v>41920.833333333336</v>
      </c>
      <c r="G306" s="91"/>
      <c r="H306" s="91">
        <f t="shared" si="17"/>
        <v>209.16666666666666</v>
      </c>
      <c r="I306" s="91">
        <f t="shared" si="18"/>
        <v>42130</v>
      </c>
      <c r="K306" s="92">
        <f t="shared" si="19"/>
        <v>2510000</v>
      </c>
    </row>
    <row r="307" spans="1:11" ht="15" x14ac:dyDescent="0.25">
      <c r="A307" s="89">
        <v>49369</v>
      </c>
      <c r="B307" s="90">
        <v>0</v>
      </c>
      <c r="C307" s="90">
        <v>0</v>
      </c>
      <c r="D307" s="90">
        <f>B311/12</f>
        <v>30416.666666666668</v>
      </c>
      <c r="E307" s="90">
        <f>C311/6</f>
        <v>11504.166666666666</v>
      </c>
      <c r="F307" s="91">
        <f t="shared" si="16"/>
        <v>41920.833333333336</v>
      </c>
      <c r="G307" s="91"/>
      <c r="H307" s="91">
        <f t="shared" si="17"/>
        <v>209.16666666666666</v>
      </c>
      <c r="I307" s="91">
        <f t="shared" si="18"/>
        <v>42130</v>
      </c>
      <c r="K307" s="92">
        <f t="shared" si="19"/>
        <v>2510000</v>
      </c>
    </row>
    <row r="308" spans="1:11" ht="15" x14ac:dyDescent="0.25">
      <c r="A308" s="89">
        <v>49400</v>
      </c>
      <c r="B308" s="90">
        <v>0</v>
      </c>
      <c r="C308" s="90">
        <v>0</v>
      </c>
      <c r="D308" s="90">
        <f>B311/12</f>
        <v>30416.666666666668</v>
      </c>
      <c r="E308" s="90">
        <f>C311/6</f>
        <v>11504.166666666666</v>
      </c>
      <c r="F308" s="91">
        <f t="shared" si="16"/>
        <v>41920.833333333336</v>
      </c>
      <c r="G308" s="91"/>
      <c r="H308" s="91">
        <f t="shared" si="17"/>
        <v>209.16666666666666</v>
      </c>
      <c r="I308" s="91">
        <f t="shared" si="18"/>
        <v>42130</v>
      </c>
      <c r="K308" s="92">
        <f t="shared" si="19"/>
        <v>2510000</v>
      </c>
    </row>
    <row r="309" spans="1:11" ht="15" x14ac:dyDescent="0.25">
      <c r="A309" s="89">
        <v>49430</v>
      </c>
      <c r="B309" s="90">
        <v>0</v>
      </c>
      <c r="C309" s="90">
        <v>0</v>
      </c>
      <c r="D309" s="90">
        <f>B311/12</f>
        <v>30416.666666666668</v>
      </c>
      <c r="E309" s="90">
        <f>C311/6</f>
        <v>11504.166666666666</v>
      </c>
      <c r="F309" s="91">
        <f t="shared" si="16"/>
        <v>41920.833333333336</v>
      </c>
      <c r="G309" s="91"/>
      <c r="H309" s="91">
        <f t="shared" si="17"/>
        <v>209.16666666666666</v>
      </c>
      <c r="I309" s="91">
        <f t="shared" si="18"/>
        <v>42130</v>
      </c>
      <c r="K309" s="92">
        <f t="shared" si="19"/>
        <v>2510000</v>
      </c>
    </row>
    <row r="310" spans="1:11" ht="15" x14ac:dyDescent="0.25">
      <c r="A310" s="89">
        <v>49461</v>
      </c>
      <c r="B310" s="90">
        <v>0</v>
      </c>
      <c r="C310" s="90">
        <v>0</v>
      </c>
      <c r="D310" s="90">
        <f>B311/12</f>
        <v>30416.666666666668</v>
      </c>
      <c r="E310" s="90">
        <f>C311/6</f>
        <v>11504.166666666666</v>
      </c>
      <c r="F310" s="91">
        <f t="shared" si="16"/>
        <v>41920.833333333336</v>
      </c>
      <c r="G310" s="91"/>
      <c r="H310" s="91">
        <f t="shared" si="17"/>
        <v>209.16666666666666</v>
      </c>
      <c r="I310" s="91">
        <f t="shared" si="18"/>
        <v>42130</v>
      </c>
      <c r="K310" s="92">
        <f t="shared" si="19"/>
        <v>2510000</v>
      </c>
    </row>
    <row r="311" spans="1:11" ht="15" x14ac:dyDescent="0.25">
      <c r="A311" s="89">
        <v>49491</v>
      </c>
      <c r="B311" s="90">
        <v>365000</v>
      </c>
      <c r="C311" s="90">
        <v>69025</v>
      </c>
      <c r="D311" s="90">
        <f>B311/12</f>
        <v>30416.666666666668</v>
      </c>
      <c r="E311" s="90">
        <f>C311/6</f>
        <v>11504.166666666666</v>
      </c>
      <c r="F311" s="91">
        <f t="shared" si="16"/>
        <v>41920.833333333336</v>
      </c>
      <c r="G311" s="91"/>
      <c r="H311" s="91">
        <f t="shared" si="17"/>
        <v>178.75</v>
      </c>
      <c r="I311" s="91">
        <f t="shared" si="18"/>
        <v>42099.583333333336</v>
      </c>
      <c r="J311" s="90">
        <f>SUM(F300:F311)</f>
        <v>503049.99999999994</v>
      </c>
      <c r="K311" s="92">
        <f t="shared" si="19"/>
        <v>2510000</v>
      </c>
    </row>
    <row r="312" spans="1:11" ht="15" x14ac:dyDescent="0.25">
      <c r="A312" s="89">
        <v>49522</v>
      </c>
      <c r="B312" s="90">
        <v>0</v>
      </c>
      <c r="C312" s="90">
        <v>0</v>
      </c>
      <c r="D312" s="90">
        <f>B323/12</f>
        <v>32083.333333333332</v>
      </c>
      <c r="E312" s="90">
        <f>C317/6</f>
        <v>9831.25</v>
      </c>
      <c r="F312" s="91">
        <f t="shared" si="16"/>
        <v>41914.583333333328</v>
      </c>
      <c r="G312" s="91"/>
      <c r="H312" s="91">
        <f t="shared" si="17"/>
        <v>178.75</v>
      </c>
      <c r="I312" s="91">
        <f t="shared" si="18"/>
        <v>42093.333333333328</v>
      </c>
      <c r="K312" s="92">
        <f t="shared" si="19"/>
        <v>2145000</v>
      </c>
    </row>
    <row r="313" spans="1:11" ht="15" x14ac:dyDescent="0.25">
      <c r="A313" s="89">
        <v>49553</v>
      </c>
      <c r="B313" s="90">
        <v>0</v>
      </c>
      <c r="C313" s="90">
        <v>0</v>
      </c>
      <c r="D313" s="90">
        <f>B323/12</f>
        <v>32083.333333333332</v>
      </c>
      <c r="E313" s="90">
        <f>C317/6</f>
        <v>9831.25</v>
      </c>
      <c r="F313" s="91">
        <f t="shared" si="16"/>
        <v>41914.583333333328</v>
      </c>
      <c r="G313" s="91"/>
      <c r="H313" s="91">
        <f t="shared" si="17"/>
        <v>178.75</v>
      </c>
      <c r="I313" s="91">
        <f t="shared" si="18"/>
        <v>42093.333333333328</v>
      </c>
      <c r="K313" s="92">
        <f t="shared" si="19"/>
        <v>2145000</v>
      </c>
    </row>
    <row r="314" spans="1:11" ht="15" x14ac:dyDescent="0.25">
      <c r="A314" s="89">
        <v>49583</v>
      </c>
      <c r="B314" s="90">
        <v>0</v>
      </c>
      <c r="C314" s="90">
        <v>0</v>
      </c>
      <c r="D314" s="90">
        <f>B323/12</f>
        <v>32083.333333333332</v>
      </c>
      <c r="E314" s="90">
        <f>C317/6</f>
        <v>9831.25</v>
      </c>
      <c r="F314" s="91">
        <f t="shared" si="16"/>
        <v>41914.583333333328</v>
      </c>
      <c r="G314" s="91"/>
      <c r="H314" s="91">
        <f t="shared" si="17"/>
        <v>178.75</v>
      </c>
      <c r="I314" s="91">
        <f t="shared" si="18"/>
        <v>42093.333333333328</v>
      </c>
      <c r="K314" s="92">
        <f t="shared" si="19"/>
        <v>2145000</v>
      </c>
    </row>
    <row r="315" spans="1:11" ht="15" x14ac:dyDescent="0.25">
      <c r="A315" s="89">
        <v>49614</v>
      </c>
      <c r="B315" s="90">
        <v>0</v>
      </c>
      <c r="C315" s="90">
        <v>0</v>
      </c>
      <c r="D315" s="90">
        <f>B323/12</f>
        <v>32083.333333333332</v>
      </c>
      <c r="E315" s="90">
        <f>C317/6</f>
        <v>9831.25</v>
      </c>
      <c r="F315" s="91">
        <f t="shared" si="16"/>
        <v>41914.583333333328</v>
      </c>
      <c r="G315" s="91"/>
      <c r="H315" s="91">
        <f t="shared" si="17"/>
        <v>178.75</v>
      </c>
      <c r="I315" s="91">
        <f t="shared" si="18"/>
        <v>42093.333333333328</v>
      </c>
      <c r="K315" s="92">
        <f t="shared" si="19"/>
        <v>2145000</v>
      </c>
    </row>
    <row r="316" spans="1:11" ht="15" x14ac:dyDescent="0.25">
      <c r="A316" s="89">
        <v>49644</v>
      </c>
      <c r="B316" s="90">
        <v>0</v>
      </c>
      <c r="C316" s="90">
        <v>0</v>
      </c>
      <c r="D316" s="90">
        <f>B323/12</f>
        <v>32083.333333333332</v>
      </c>
      <c r="E316" s="90">
        <f>C317/6</f>
        <v>9831.25</v>
      </c>
      <c r="F316" s="91">
        <f t="shared" si="16"/>
        <v>41914.583333333328</v>
      </c>
      <c r="G316" s="91"/>
      <c r="H316" s="91">
        <f t="shared" si="17"/>
        <v>178.75</v>
      </c>
      <c r="I316" s="91">
        <f t="shared" si="18"/>
        <v>42093.333333333328</v>
      </c>
      <c r="K316" s="92">
        <f t="shared" si="19"/>
        <v>2145000</v>
      </c>
    </row>
    <row r="317" spans="1:11" ht="15" x14ac:dyDescent="0.25">
      <c r="A317" s="89">
        <v>49675</v>
      </c>
      <c r="B317" s="90">
        <v>0</v>
      </c>
      <c r="C317" s="90">
        <v>58987.5</v>
      </c>
      <c r="D317" s="90">
        <f>B323/12</f>
        <v>32083.333333333332</v>
      </c>
      <c r="E317" s="90">
        <f>C317/6</f>
        <v>9831.25</v>
      </c>
      <c r="F317" s="91">
        <f t="shared" si="16"/>
        <v>41914.583333333328</v>
      </c>
      <c r="G317" s="91"/>
      <c r="H317" s="91">
        <f t="shared" si="17"/>
        <v>178.75</v>
      </c>
      <c r="I317" s="91">
        <f t="shared" si="18"/>
        <v>42093.333333333328</v>
      </c>
      <c r="K317" s="92">
        <f t="shared" si="19"/>
        <v>2145000</v>
      </c>
    </row>
    <row r="318" spans="1:11" ht="15" x14ac:dyDescent="0.25">
      <c r="A318" s="89">
        <v>49706</v>
      </c>
      <c r="B318" s="90">
        <v>0</v>
      </c>
      <c r="C318" s="90">
        <v>0</v>
      </c>
      <c r="D318" s="90">
        <f>B323/12</f>
        <v>32083.333333333332</v>
      </c>
      <c r="E318" s="90">
        <f>C323/6</f>
        <v>9831.25</v>
      </c>
      <c r="F318" s="91">
        <f t="shared" si="16"/>
        <v>41914.583333333328</v>
      </c>
      <c r="G318" s="91"/>
      <c r="H318" s="91">
        <f t="shared" si="17"/>
        <v>178.75</v>
      </c>
      <c r="I318" s="91">
        <f t="shared" si="18"/>
        <v>42093.333333333328</v>
      </c>
      <c r="J318" s="93"/>
      <c r="K318" s="92">
        <f t="shared" si="19"/>
        <v>2145000</v>
      </c>
    </row>
    <row r="319" spans="1:11" ht="15" x14ac:dyDescent="0.25">
      <c r="A319" s="89">
        <v>49735</v>
      </c>
      <c r="B319" s="90">
        <v>0</v>
      </c>
      <c r="C319" s="90">
        <v>0</v>
      </c>
      <c r="D319" s="90">
        <f>B323/12</f>
        <v>32083.333333333332</v>
      </c>
      <c r="E319" s="90">
        <f>C323/6</f>
        <v>9831.25</v>
      </c>
      <c r="F319" s="91">
        <f t="shared" si="16"/>
        <v>41914.583333333328</v>
      </c>
      <c r="G319" s="91"/>
      <c r="H319" s="91">
        <f t="shared" si="17"/>
        <v>178.75</v>
      </c>
      <c r="I319" s="91">
        <f t="shared" si="18"/>
        <v>42093.333333333328</v>
      </c>
      <c r="K319" s="92">
        <f t="shared" si="19"/>
        <v>2145000</v>
      </c>
    </row>
    <row r="320" spans="1:11" ht="15" x14ac:dyDescent="0.25">
      <c r="A320" s="89">
        <v>49766</v>
      </c>
      <c r="B320" s="90">
        <v>0</v>
      </c>
      <c r="C320" s="90">
        <v>0</v>
      </c>
      <c r="D320" s="90">
        <f>B323/12</f>
        <v>32083.333333333332</v>
      </c>
      <c r="E320" s="90">
        <f>C323/6</f>
        <v>9831.25</v>
      </c>
      <c r="F320" s="91">
        <f t="shared" si="16"/>
        <v>41914.583333333328</v>
      </c>
      <c r="G320" s="91"/>
      <c r="H320" s="91">
        <f t="shared" si="17"/>
        <v>178.75</v>
      </c>
      <c r="I320" s="91">
        <f t="shared" si="18"/>
        <v>42093.333333333328</v>
      </c>
      <c r="K320" s="92">
        <f t="shared" si="19"/>
        <v>2145000</v>
      </c>
    </row>
    <row r="321" spans="1:11" ht="15" x14ac:dyDescent="0.25">
      <c r="A321" s="89">
        <v>49796</v>
      </c>
      <c r="B321" s="90">
        <v>0</v>
      </c>
      <c r="C321" s="90">
        <v>0</v>
      </c>
      <c r="D321" s="90">
        <f>B323/12</f>
        <v>32083.333333333332</v>
      </c>
      <c r="E321" s="90">
        <f>C323/6</f>
        <v>9831.25</v>
      </c>
      <c r="F321" s="91">
        <f t="shared" si="16"/>
        <v>41914.583333333328</v>
      </c>
      <c r="G321" s="91"/>
      <c r="H321" s="91">
        <f t="shared" si="17"/>
        <v>178.75</v>
      </c>
      <c r="I321" s="91">
        <f t="shared" si="18"/>
        <v>42093.333333333328</v>
      </c>
      <c r="K321" s="92">
        <f t="shared" si="19"/>
        <v>2145000</v>
      </c>
    </row>
    <row r="322" spans="1:11" ht="15" x14ac:dyDescent="0.25">
      <c r="A322" s="89">
        <v>49827</v>
      </c>
      <c r="B322" s="90">
        <v>0</v>
      </c>
      <c r="C322" s="90">
        <v>0</v>
      </c>
      <c r="D322" s="90">
        <f>B323/12</f>
        <v>32083.333333333332</v>
      </c>
      <c r="E322" s="90">
        <f>C323/6</f>
        <v>9831.25</v>
      </c>
      <c r="F322" s="91">
        <f t="shared" si="16"/>
        <v>41914.583333333328</v>
      </c>
      <c r="G322" s="91"/>
      <c r="H322" s="91">
        <f t="shared" si="17"/>
        <v>178.75</v>
      </c>
      <c r="I322" s="91">
        <f t="shared" si="18"/>
        <v>42093.333333333328</v>
      </c>
      <c r="K322" s="92">
        <f t="shared" si="19"/>
        <v>2145000</v>
      </c>
    </row>
    <row r="323" spans="1:11" ht="15" x14ac:dyDescent="0.25">
      <c r="A323" s="89">
        <v>49857</v>
      </c>
      <c r="B323" s="90">
        <v>385000</v>
      </c>
      <c r="C323" s="90">
        <v>58987.5</v>
      </c>
      <c r="D323" s="90">
        <f>B323/12</f>
        <v>32083.333333333332</v>
      </c>
      <c r="E323" s="90">
        <f>C323/6</f>
        <v>9831.25</v>
      </c>
      <c r="F323" s="91">
        <f t="shared" si="16"/>
        <v>41914.583333333328</v>
      </c>
      <c r="G323" s="91"/>
      <c r="H323" s="91">
        <f t="shared" si="17"/>
        <v>146.66666666666666</v>
      </c>
      <c r="I323" s="91">
        <f t="shared" si="18"/>
        <v>42061.249999999993</v>
      </c>
      <c r="J323" s="90">
        <f>SUM(F312:F323)</f>
        <v>502974.99999999983</v>
      </c>
      <c r="K323" s="92">
        <f t="shared" si="19"/>
        <v>2145000</v>
      </c>
    </row>
    <row r="324" spans="1:11" ht="15" x14ac:dyDescent="0.25">
      <c r="A324" s="89">
        <v>49888</v>
      </c>
      <c r="B324" s="90">
        <v>0</v>
      </c>
      <c r="C324" s="90">
        <v>0</v>
      </c>
      <c r="D324" s="90">
        <f>B335/12</f>
        <v>33750</v>
      </c>
      <c r="E324" s="90">
        <f>C329/6</f>
        <v>8066.666666666667</v>
      </c>
      <c r="F324" s="91">
        <f t="shared" si="16"/>
        <v>41816.666666666664</v>
      </c>
      <c r="G324" s="91"/>
      <c r="H324" s="91">
        <f t="shared" si="17"/>
        <v>146.66666666666666</v>
      </c>
      <c r="I324" s="91">
        <f t="shared" si="18"/>
        <v>41963.333333333328</v>
      </c>
      <c r="K324" s="92">
        <f t="shared" si="19"/>
        <v>1760000</v>
      </c>
    </row>
    <row r="325" spans="1:11" ht="15" x14ac:dyDescent="0.25">
      <c r="A325" s="89">
        <v>49919</v>
      </c>
      <c r="B325" s="90">
        <v>0</v>
      </c>
      <c r="C325" s="90">
        <v>0</v>
      </c>
      <c r="D325" s="90">
        <f>B335/12</f>
        <v>33750</v>
      </c>
      <c r="E325" s="90">
        <f>C329/6</f>
        <v>8066.666666666667</v>
      </c>
      <c r="F325" s="91">
        <f t="shared" si="16"/>
        <v>41816.666666666664</v>
      </c>
      <c r="G325" s="91"/>
      <c r="H325" s="91">
        <f t="shared" si="17"/>
        <v>146.66666666666666</v>
      </c>
      <c r="I325" s="91">
        <f t="shared" si="18"/>
        <v>41963.333333333328</v>
      </c>
      <c r="K325" s="92">
        <f t="shared" si="19"/>
        <v>1760000</v>
      </c>
    </row>
    <row r="326" spans="1:11" ht="15" x14ac:dyDescent="0.25">
      <c r="A326" s="89">
        <v>49949</v>
      </c>
      <c r="B326" s="90">
        <v>0</v>
      </c>
      <c r="C326" s="90">
        <v>0</v>
      </c>
      <c r="D326" s="90">
        <f>B335/12</f>
        <v>33750</v>
      </c>
      <c r="E326" s="90">
        <f>C329/6</f>
        <v>8066.666666666667</v>
      </c>
      <c r="F326" s="91">
        <f t="shared" si="16"/>
        <v>41816.666666666664</v>
      </c>
      <c r="G326" s="91"/>
      <c r="H326" s="91">
        <f t="shared" si="17"/>
        <v>146.66666666666666</v>
      </c>
      <c r="I326" s="91">
        <f t="shared" si="18"/>
        <v>41963.333333333328</v>
      </c>
      <c r="K326" s="92">
        <f t="shared" si="19"/>
        <v>1760000</v>
      </c>
    </row>
    <row r="327" spans="1:11" ht="15" x14ac:dyDescent="0.25">
      <c r="A327" s="89">
        <v>49980</v>
      </c>
      <c r="B327" s="90">
        <v>0</v>
      </c>
      <c r="C327" s="90">
        <v>0</v>
      </c>
      <c r="D327" s="90">
        <f>B335/12</f>
        <v>33750</v>
      </c>
      <c r="E327" s="90">
        <f>C329/6</f>
        <v>8066.666666666667</v>
      </c>
      <c r="F327" s="91">
        <f t="shared" si="16"/>
        <v>41816.666666666664</v>
      </c>
      <c r="G327" s="91"/>
      <c r="H327" s="91">
        <f t="shared" si="17"/>
        <v>146.66666666666666</v>
      </c>
      <c r="I327" s="91">
        <f t="shared" si="18"/>
        <v>41963.333333333328</v>
      </c>
      <c r="K327" s="92">
        <f t="shared" si="19"/>
        <v>1760000</v>
      </c>
    </row>
    <row r="328" spans="1:11" ht="15" x14ac:dyDescent="0.25">
      <c r="A328" s="89">
        <v>50010</v>
      </c>
      <c r="B328" s="90">
        <v>0</v>
      </c>
      <c r="C328" s="90">
        <v>0</v>
      </c>
      <c r="D328" s="90">
        <f>B335/12</f>
        <v>33750</v>
      </c>
      <c r="E328" s="90">
        <f>C329/6</f>
        <v>8066.666666666667</v>
      </c>
      <c r="F328" s="91">
        <f t="shared" ref="F328:F371" si="20">D328+E328</f>
        <v>41816.666666666664</v>
      </c>
      <c r="G328" s="91"/>
      <c r="H328" s="91">
        <f t="shared" si="17"/>
        <v>146.66666666666666</v>
      </c>
      <c r="I328" s="91">
        <f t="shared" si="18"/>
        <v>41963.333333333328</v>
      </c>
      <c r="K328" s="92">
        <f t="shared" si="19"/>
        <v>1760000</v>
      </c>
    </row>
    <row r="329" spans="1:11" ht="15" x14ac:dyDescent="0.25">
      <c r="A329" s="89">
        <v>50041</v>
      </c>
      <c r="B329" s="90">
        <v>0</v>
      </c>
      <c r="C329" s="90">
        <v>48400</v>
      </c>
      <c r="D329" s="90">
        <f>B335/12</f>
        <v>33750</v>
      </c>
      <c r="E329" s="90">
        <f>C329/6</f>
        <v>8066.666666666667</v>
      </c>
      <c r="F329" s="91">
        <f t="shared" si="20"/>
        <v>41816.666666666664</v>
      </c>
      <c r="G329" s="91"/>
      <c r="H329" s="91">
        <f t="shared" ref="H329:H371" si="21">+(K330*0.001)/12</f>
        <v>146.66666666666666</v>
      </c>
      <c r="I329" s="91">
        <f t="shared" ref="I329:I371" si="22">+F329+G329+H329</f>
        <v>41963.333333333328</v>
      </c>
      <c r="K329" s="92">
        <f t="shared" si="19"/>
        <v>1760000</v>
      </c>
    </row>
    <row r="330" spans="1:11" ht="15" x14ac:dyDescent="0.25">
      <c r="A330" s="89">
        <v>50072</v>
      </c>
      <c r="B330" s="90">
        <v>0</v>
      </c>
      <c r="C330" s="90">
        <v>0</v>
      </c>
      <c r="D330" s="90">
        <f>B335/12</f>
        <v>33750</v>
      </c>
      <c r="E330" s="90">
        <f>C335/6</f>
        <v>8066.666666666667</v>
      </c>
      <c r="F330" s="91">
        <f t="shared" si="20"/>
        <v>41816.666666666664</v>
      </c>
      <c r="G330" s="91"/>
      <c r="H330" s="91">
        <f t="shared" si="21"/>
        <v>146.66666666666666</v>
      </c>
      <c r="I330" s="91">
        <f t="shared" si="22"/>
        <v>41963.333333333328</v>
      </c>
      <c r="K330" s="92">
        <f t="shared" ref="K330:K371" si="23">+K329-B329</f>
        <v>1760000</v>
      </c>
    </row>
    <row r="331" spans="1:11" ht="15" x14ac:dyDescent="0.25">
      <c r="A331" s="89">
        <v>50100</v>
      </c>
      <c r="B331" s="90">
        <v>0</v>
      </c>
      <c r="C331" s="90">
        <v>0</v>
      </c>
      <c r="D331" s="90">
        <f>B335/12</f>
        <v>33750</v>
      </c>
      <c r="E331" s="90">
        <f>C335/6</f>
        <v>8066.666666666667</v>
      </c>
      <c r="F331" s="91">
        <f t="shared" si="20"/>
        <v>41816.666666666664</v>
      </c>
      <c r="G331" s="91"/>
      <c r="H331" s="91">
        <f t="shared" si="21"/>
        <v>146.66666666666666</v>
      </c>
      <c r="I331" s="91">
        <f t="shared" si="22"/>
        <v>41963.333333333328</v>
      </c>
      <c r="K331" s="92">
        <f t="shared" si="23"/>
        <v>1760000</v>
      </c>
    </row>
    <row r="332" spans="1:11" ht="15" x14ac:dyDescent="0.25">
      <c r="A332" s="89">
        <v>50131</v>
      </c>
      <c r="B332" s="90">
        <v>0</v>
      </c>
      <c r="C332" s="90">
        <v>0</v>
      </c>
      <c r="D332" s="90">
        <f>B335/12</f>
        <v>33750</v>
      </c>
      <c r="E332" s="90">
        <f>C335/6</f>
        <v>8066.666666666667</v>
      </c>
      <c r="F332" s="91">
        <f t="shared" si="20"/>
        <v>41816.666666666664</v>
      </c>
      <c r="G332" s="91"/>
      <c r="H332" s="91">
        <f t="shared" si="21"/>
        <v>146.66666666666666</v>
      </c>
      <c r="I332" s="91">
        <f t="shared" si="22"/>
        <v>41963.333333333328</v>
      </c>
      <c r="K332" s="92">
        <f t="shared" si="23"/>
        <v>1760000</v>
      </c>
    </row>
    <row r="333" spans="1:11" ht="15" x14ac:dyDescent="0.25">
      <c r="A333" s="89">
        <v>50161</v>
      </c>
      <c r="B333" s="90">
        <v>0</v>
      </c>
      <c r="C333" s="90">
        <v>0</v>
      </c>
      <c r="D333" s="90">
        <f>B335/12</f>
        <v>33750</v>
      </c>
      <c r="E333" s="90">
        <f>C335/6</f>
        <v>8066.666666666667</v>
      </c>
      <c r="F333" s="91">
        <f t="shared" si="20"/>
        <v>41816.666666666664</v>
      </c>
      <c r="G333" s="91"/>
      <c r="H333" s="91">
        <f t="shared" si="21"/>
        <v>146.66666666666666</v>
      </c>
      <c r="I333" s="91">
        <f t="shared" si="22"/>
        <v>41963.333333333328</v>
      </c>
      <c r="K333" s="92">
        <f t="shared" si="23"/>
        <v>1760000</v>
      </c>
    </row>
    <row r="334" spans="1:11" ht="15" x14ac:dyDescent="0.25">
      <c r="A334" s="89">
        <v>50192</v>
      </c>
      <c r="B334" s="90">
        <v>0</v>
      </c>
      <c r="C334" s="90">
        <v>0</v>
      </c>
      <c r="D334" s="90">
        <f>B335/12</f>
        <v>33750</v>
      </c>
      <c r="E334" s="90">
        <f>C335/6</f>
        <v>8066.666666666667</v>
      </c>
      <c r="F334" s="91">
        <f t="shared" si="20"/>
        <v>41816.666666666664</v>
      </c>
      <c r="G334" s="91"/>
      <c r="H334" s="91">
        <f t="shared" si="21"/>
        <v>146.66666666666666</v>
      </c>
      <c r="I334" s="91">
        <f t="shared" si="22"/>
        <v>41963.333333333328</v>
      </c>
      <c r="K334" s="92">
        <f t="shared" si="23"/>
        <v>1760000</v>
      </c>
    </row>
    <row r="335" spans="1:11" ht="15" x14ac:dyDescent="0.25">
      <c r="A335" s="89">
        <v>50222</v>
      </c>
      <c r="B335" s="90">
        <v>405000</v>
      </c>
      <c r="C335" s="90">
        <v>48400</v>
      </c>
      <c r="D335" s="90">
        <f>B335/12</f>
        <v>33750</v>
      </c>
      <c r="E335" s="90">
        <f>C335/6</f>
        <v>8066.666666666667</v>
      </c>
      <c r="F335" s="91">
        <f t="shared" si="20"/>
        <v>41816.666666666664</v>
      </c>
      <c r="G335" s="91"/>
      <c r="H335" s="91">
        <f t="shared" si="21"/>
        <v>112.91666666666667</v>
      </c>
      <c r="I335" s="91">
        <f t="shared" si="22"/>
        <v>41929.583333333328</v>
      </c>
      <c r="J335" s="90">
        <f>SUM(F324:F335)</f>
        <v>501800.00000000006</v>
      </c>
      <c r="K335" s="92">
        <f t="shared" si="23"/>
        <v>1760000</v>
      </c>
    </row>
    <row r="336" spans="1:11" ht="15" x14ac:dyDescent="0.25">
      <c r="A336" s="89">
        <v>50253</v>
      </c>
      <c r="B336" s="90">
        <v>0</v>
      </c>
      <c r="C336" s="90">
        <v>0</v>
      </c>
      <c r="D336" s="90">
        <f>B347/12</f>
        <v>35833.333333333336</v>
      </c>
      <c r="E336" s="90">
        <f>C341/6</f>
        <v>6210.416666666667</v>
      </c>
      <c r="F336" s="91">
        <f t="shared" si="20"/>
        <v>42043.75</v>
      </c>
      <c r="G336" s="91"/>
      <c r="H336" s="91">
        <f t="shared" si="21"/>
        <v>112.91666666666667</v>
      </c>
      <c r="I336" s="91">
        <f t="shared" si="22"/>
        <v>42156.666666666664</v>
      </c>
      <c r="K336" s="92">
        <f t="shared" si="23"/>
        <v>1355000</v>
      </c>
    </row>
    <row r="337" spans="1:15" ht="15" x14ac:dyDescent="0.25">
      <c r="A337" s="89">
        <v>50284</v>
      </c>
      <c r="B337" s="90">
        <v>0</v>
      </c>
      <c r="C337" s="90">
        <v>0</v>
      </c>
      <c r="D337" s="90">
        <f>B347/12</f>
        <v>35833.333333333336</v>
      </c>
      <c r="E337" s="90">
        <f>C341/6</f>
        <v>6210.416666666667</v>
      </c>
      <c r="F337" s="91">
        <f t="shared" si="20"/>
        <v>42043.75</v>
      </c>
      <c r="G337" s="91"/>
      <c r="H337" s="91">
        <f t="shared" si="21"/>
        <v>112.91666666666667</v>
      </c>
      <c r="I337" s="91">
        <f t="shared" si="22"/>
        <v>42156.666666666664</v>
      </c>
      <c r="K337" s="92">
        <f t="shared" si="23"/>
        <v>1355000</v>
      </c>
    </row>
    <row r="338" spans="1:15" ht="15" x14ac:dyDescent="0.25">
      <c r="A338" s="89">
        <v>50314</v>
      </c>
      <c r="B338" s="90">
        <v>0</v>
      </c>
      <c r="C338" s="90">
        <v>0</v>
      </c>
      <c r="D338" s="90">
        <f>B347/12</f>
        <v>35833.333333333336</v>
      </c>
      <c r="E338" s="90">
        <f>C341/6</f>
        <v>6210.416666666667</v>
      </c>
      <c r="F338" s="91">
        <f t="shared" si="20"/>
        <v>42043.75</v>
      </c>
      <c r="G338" s="91"/>
      <c r="H338" s="91">
        <f t="shared" si="21"/>
        <v>112.91666666666667</v>
      </c>
      <c r="I338" s="91">
        <f t="shared" si="22"/>
        <v>42156.666666666664</v>
      </c>
      <c r="K338" s="92">
        <f t="shared" si="23"/>
        <v>1355000</v>
      </c>
    </row>
    <row r="339" spans="1:15" ht="15" x14ac:dyDescent="0.25">
      <c r="A339" s="89">
        <v>50345</v>
      </c>
      <c r="B339" s="90">
        <v>0</v>
      </c>
      <c r="C339" s="90">
        <v>0</v>
      </c>
      <c r="D339" s="90">
        <f>B347/12</f>
        <v>35833.333333333336</v>
      </c>
      <c r="E339" s="90">
        <f>C341/6</f>
        <v>6210.416666666667</v>
      </c>
      <c r="F339" s="91">
        <f t="shared" si="20"/>
        <v>42043.75</v>
      </c>
      <c r="G339" s="91"/>
      <c r="H339" s="91">
        <f t="shared" si="21"/>
        <v>112.91666666666667</v>
      </c>
      <c r="I339" s="91">
        <f t="shared" si="22"/>
        <v>42156.666666666664</v>
      </c>
      <c r="K339" s="92">
        <f t="shared" si="23"/>
        <v>1355000</v>
      </c>
    </row>
    <row r="340" spans="1:15" ht="15" x14ac:dyDescent="0.25">
      <c r="A340" s="89">
        <v>50375</v>
      </c>
      <c r="B340" s="90">
        <v>0</v>
      </c>
      <c r="C340" s="90">
        <v>0</v>
      </c>
      <c r="D340" s="90">
        <f>B347/12</f>
        <v>35833.333333333336</v>
      </c>
      <c r="E340" s="90">
        <f>C341/6</f>
        <v>6210.416666666667</v>
      </c>
      <c r="F340" s="91">
        <f t="shared" si="20"/>
        <v>42043.75</v>
      </c>
      <c r="G340" s="91"/>
      <c r="H340" s="91">
        <f t="shared" si="21"/>
        <v>112.91666666666667</v>
      </c>
      <c r="I340" s="91">
        <f t="shared" si="22"/>
        <v>42156.666666666664</v>
      </c>
      <c r="K340" s="92">
        <f t="shared" si="23"/>
        <v>1355000</v>
      </c>
    </row>
    <row r="341" spans="1:15" ht="15" x14ac:dyDescent="0.25">
      <c r="A341" s="89">
        <v>50406</v>
      </c>
      <c r="B341" s="90">
        <v>0</v>
      </c>
      <c r="C341" s="90">
        <v>37262.5</v>
      </c>
      <c r="D341" s="90">
        <f>B347/12</f>
        <v>35833.333333333336</v>
      </c>
      <c r="E341" s="90">
        <f>C341/6</f>
        <v>6210.416666666667</v>
      </c>
      <c r="F341" s="91">
        <f t="shared" si="20"/>
        <v>42043.75</v>
      </c>
      <c r="G341" s="91"/>
      <c r="H341" s="91">
        <f t="shared" si="21"/>
        <v>112.91666666666667</v>
      </c>
      <c r="I341" s="91">
        <f t="shared" si="22"/>
        <v>42156.666666666664</v>
      </c>
      <c r="K341" s="92">
        <f t="shared" si="23"/>
        <v>1355000</v>
      </c>
      <c r="O341" s="80" t="s">
        <v>40</v>
      </c>
    </row>
    <row r="342" spans="1:15" ht="15" x14ac:dyDescent="0.25">
      <c r="A342" s="89">
        <v>50437</v>
      </c>
      <c r="B342" s="90">
        <v>0</v>
      </c>
      <c r="C342" s="90">
        <v>0</v>
      </c>
      <c r="D342" s="90">
        <f>B347/12</f>
        <v>35833.333333333336</v>
      </c>
      <c r="E342" s="90">
        <f>C347/6</f>
        <v>6210.416666666667</v>
      </c>
      <c r="F342" s="91">
        <f t="shared" si="20"/>
        <v>42043.75</v>
      </c>
      <c r="G342" s="91"/>
      <c r="H342" s="91">
        <f t="shared" si="21"/>
        <v>112.91666666666667</v>
      </c>
      <c r="I342" s="91">
        <f t="shared" si="22"/>
        <v>42156.666666666664</v>
      </c>
      <c r="J342" s="93"/>
      <c r="K342" s="92">
        <f t="shared" si="23"/>
        <v>1355000</v>
      </c>
    </row>
    <row r="343" spans="1:15" ht="15" x14ac:dyDescent="0.25">
      <c r="A343" s="89">
        <v>50465</v>
      </c>
      <c r="B343" s="90">
        <v>0</v>
      </c>
      <c r="C343" s="90">
        <v>0</v>
      </c>
      <c r="D343" s="90">
        <f>B347/12</f>
        <v>35833.333333333336</v>
      </c>
      <c r="E343" s="90">
        <f>C347/6</f>
        <v>6210.416666666667</v>
      </c>
      <c r="F343" s="91">
        <f t="shared" si="20"/>
        <v>42043.75</v>
      </c>
      <c r="G343" s="91"/>
      <c r="H343" s="91">
        <f t="shared" si="21"/>
        <v>112.91666666666667</v>
      </c>
      <c r="I343" s="91">
        <f t="shared" si="22"/>
        <v>42156.666666666664</v>
      </c>
      <c r="K343" s="92">
        <f t="shared" si="23"/>
        <v>1355000</v>
      </c>
    </row>
    <row r="344" spans="1:15" ht="15" x14ac:dyDescent="0.25">
      <c r="A344" s="89">
        <v>50496</v>
      </c>
      <c r="B344" s="90">
        <v>0</v>
      </c>
      <c r="C344" s="90">
        <v>0</v>
      </c>
      <c r="D344" s="90">
        <f>B347/12</f>
        <v>35833.333333333336</v>
      </c>
      <c r="E344" s="90">
        <f>C347/6</f>
        <v>6210.416666666667</v>
      </c>
      <c r="F344" s="91">
        <f t="shared" si="20"/>
        <v>42043.75</v>
      </c>
      <c r="G344" s="91"/>
      <c r="H344" s="91">
        <f t="shared" si="21"/>
        <v>112.91666666666667</v>
      </c>
      <c r="I344" s="91">
        <f t="shared" si="22"/>
        <v>42156.666666666664</v>
      </c>
      <c r="K344" s="92">
        <f t="shared" si="23"/>
        <v>1355000</v>
      </c>
    </row>
    <row r="345" spans="1:15" ht="15" x14ac:dyDescent="0.25">
      <c r="A345" s="89">
        <v>50526</v>
      </c>
      <c r="B345" s="90">
        <v>0</v>
      </c>
      <c r="C345" s="90">
        <v>0</v>
      </c>
      <c r="D345" s="90">
        <f>B347/12</f>
        <v>35833.333333333336</v>
      </c>
      <c r="E345" s="90">
        <f>C347/6</f>
        <v>6210.416666666667</v>
      </c>
      <c r="F345" s="91">
        <f t="shared" si="20"/>
        <v>42043.75</v>
      </c>
      <c r="G345" s="91"/>
      <c r="H345" s="91">
        <f t="shared" si="21"/>
        <v>112.91666666666667</v>
      </c>
      <c r="I345" s="91">
        <f t="shared" si="22"/>
        <v>42156.666666666664</v>
      </c>
      <c r="K345" s="92">
        <f t="shared" si="23"/>
        <v>1355000</v>
      </c>
    </row>
    <row r="346" spans="1:15" ht="15" x14ac:dyDescent="0.25">
      <c r="A346" s="89">
        <v>50557</v>
      </c>
      <c r="B346" s="90">
        <v>0</v>
      </c>
      <c r="C346" s="90">
        <v>0</v>
      </c>
      <c r="D346" s="90">
        <f>B347/12</f>
        <v>35833.333333333336</v>
      </c>
      <c r="E346" s="90">
        <f>C347/6</f>
        <v>6210.416666666667</v>
      </c>
      <c r="F346" s="91">
        <f t="shared" si="20"/>
        <v>42043.75</v>
      </c>
      <c r="G346" s="91"/>
      <c r="H346" s="91">
        <f t="shared" si="21"/>
        <v>112.91666666666667</v>
      </c>
      <c r="I346" s="91">
        <f t="shared" si="22"/>
        <v>42156.666666666664</v>
      </c>
      <c r="K346" s="92">
        <f t="shared" si="23"/>
        <v>1355000</v>
      </c>
    </row>
    <row r="347" spans="1:15" ht="15" x14ac:dyDescent="0.25">
      <c r="A347" s="89">
        <v>50587</v>
      </c>
      <c r="B347" s="90">
        <v>430000</v>
      </c>
      <c r="C347" s="90">
        <v>37262.5</v>
      </c>
      <c r="D347" s="90">
        <f>B347/12</f>
        <v>35833.333333333336</v>
      </c>
      <c r="E347" s="90">
        <f>C347/6</f>
        <v>6210.416666666667</v>
      </c>
      <c r="F347" s="91">
        <f t="shared" si="20"/>
        <v>42043.75</v>
      </c>
      <c r="G347" s="91"/>
      <c r="H347" s="91">
        <f t="shared" si="21"/>
        <v>77.083333333333329</v>
      </c>
      <c r="I347" s="91">
        <f t="shared" si="22"/>
        <v>42120.833333333336</v>
      </c>
      <c r="J347" s="90">
        <f>SUM(F336:F347)</f>
        <v>504525</v>
      </c>
      <c r="K347" s="92">
        <f t="shared" si="23"/>
        <v>1355000</v>
      </c>
    </row>
    <row r="348" spans="1:15" ht="15" x14ac:dyDescent="0.25">
      <c r="A348" s="89">
        <v>50618</v>
      </c>
      <c r="B348" s="90">
        <v>0</v>
      </c>
      <c r="C348" s="90">
        <v>0</v>
      </c>
      <c r="D348" s="90">
        <f>B359/12</f>
        <v>37500</v>
      </c>
      <c r="E348" s="90">
        <f>C353/6</f>
        <v>4239.583333333333</v>
      </c>
      <c r="F348" s="91">
        <f t="shared" si="20"/>
        <v>41739.583333333336</v>
      </c>
      <c r="G348" s="91"/>
      <c r="H348" s="91">
        <f t="shared" si="21"/>
        <v>77.083333333333329</v>
      </c>
      <c r="I348" s="91">
        <f t="shared" si="22"/>
        <v>41816.666666666672</v>
      </c>
      <c r="K348" s="92">
        <f t="shared" si="23"/>
        <v>925000</v>
      </c>
    </row>
    <row r="349" spans="1:15" ht="15" x14ac:dyDescent="0.25">
      <c r="A349" s="89">
        <v>50649</v>
      </c>
      <c r="B349" s="90">
        <v>0</v>
      </c>
      <c r="C349" s="90">
        <v>0</v>
      </c>
      <c r="D349" s="90">
        <f>B359/12</f>
        <v>37500</v>
      </c>
      <c r="E349" s="90">
        <f>C353/6</f>
        <v>4239.583333333333</v>
      </c>
      <c r="F349" s="91">
        <f t="shared" si="20"/>
        <v>41739.583333333336</v>
      </c>
      <c r="G349" s="91"/>
      <c r="H349" s="91">
        <f t="shared" si="21"/>
        <v>77.083333333333329</v>
      </c>
      <c r="I349" s="91">
        <f t="shared" si="22"/>
        <v>41816.666666666672</v>
      </c>
      <c r="K349" s="92">
        <f t="shared" si="23"/>
        <v>925000</v>
      </c>
    </row>
    <row r="350" spans="1:15" ht="15" x14ac:dyDescent="0.25">
      <c r="A350" s="89">
        <v>50679</v>
      </c>
      <c r="B350" s="90">
        <v>0</v>
      </c>
      <c r="C350" s="90">
        <v>0</v>
      </c>
      <c r="D350" s="90">
        <f>B359/12</f>
        <v>37500</v>
      </c>
      <c r="E350" s="90">
        <f>C353/6</f>
        <v>4239.583333333333</v>
      </c>
      <c r="F350" s="91">
        <f t="shared" si="20"/>
        <v>41739.583333333336</v>
      </c>
      <c r="G350" s="91"/>
      <c r="H350" s="91">
        <f t="shared" si="21"/>
        <v>77.083333333333329</v>
      </c>
      <c r="I350" s="91">
        <f t="shared" si="22"/>
        <v>41816.666666666672</v>
      </c>
      <c r="K350" s="92">
        <f t="shared" si="23"/>
        <v>925000</v>
      </c>
    </row>
    <row r="351" spans="1:15" ht="15" x14ac:dyDescent="0.25">
      <c r="A351" s="89">
        <v>50710</v>
      </c>
      <c r="B351" s="90">
        <v>0</v>
      </c>
      <c r="C351" s="90">
        <v>0</v>
      </c>
      <c r="D351" s="90">
        <f>B359/12</f>
        <v>37500</v>
      </c>
      <c r="E351" s="90">
        <f>C353/6</f>
        <v>4239.583333333333</v>
      </c>
      <c r="F351" s="91">
        <f t="shared" si="20"/>
        <v>41739.583333333336</v>
      </c>
      <c r="G351" s="91"/>
      <c r="H351" s="91">
        <f t="shared" si="21"/>
        <v>77.083333333333329</v>
      </c>
      <c r="I351" s="91">
        <f t="shared" si="22"/>
        <v>41816.666666666672</v>
      </c>
      <c r="K351" s="92">
        <f t="shared" si="23"/>
        <v>925000</v>
      </c>
    </row>
    <row r="352" spans="1:15" ht="15" x14ac:dyDescent="0.25">
      <c r="A352" s="89">
        <v>50740</v>
      </c>
      <c r="B352" s="90">
        <v>0</v>
      </c>
      <c r="C352" s="90">
        <v>0</v>
      </c>
      <c r="D352" s="90">
        <f>B359/12</f>
        <v>37500</v>
      </c>
      <c r="E352" s="90">
        <f>C353/6</f>
        <v>4239.583333333333</v>
      </c>
      <c r="F352" s="91">
        <f t="shared" si="20"/>
        <v>41739.583333333336</v>
      </c>
      <c r="G352" s="91"/>
      <c r="H352" s="91">
        <f t="shared" si="21"/>
        <v>77.083333333333329</v>
      </c>
      <c r="I352" s="91">
        <f t="shared" si="22"/>
        <v>41816.666666666672</v>
      </c>
      <c r="K352" s="92">
        <f t="shared" si="23"/>
        <v>925000</v>
      </c>
    </row>
    <row r="353" spans="1:11" ht="15" x14ac:dyDescent="0.25">
      <c r="A353" s="89">
        <v>50771</v>
      </c>
      <c r="B353" s="90">
        <v>0</v>
      </c>
      <c r="C353" s="90">
        <v>25437.5</v>
      </c>
      <c r="D353" s="90">
        <f>B359/12</f>
        <v>37500</v>
      </c>
      <c r="E353" s="90">
        <f>C353/6</f>
        <v>4239.583333333333</v>
      </c>
      <c r="F353" s="91">
        <f t="shared" si="20"/>
        <v>41739.583333333336</v>
      </c>
      <c r="G353" s="91"/>
      <c r="H353" s="91">
        <f t="shared" si="21"/>
        <v>77.083333333333329</v>
      </c>
      <c r="I353" s="91">
        <f t="shared" si="22"/>
        <v>41816.666666666672</v>
      </c>
      <c r="K353" s="92">
        <f t="shared" si="23"/>
        <v>925000</v>
      </c>
    </row>
    <row r="354" spans="1:11" ht="15" x14ac:dyDescent="0.25">
      <c r="A354" s="89">
        <v>50802</v>
      </c>
      <c r="B354" s="90">
        <v>0</v>
      </c>
      <c r="C354" s="90">
        <v>0</v>
      </c>
      <c r="D354" s="90">
        <f>B359/12</f>
        <v>37500</v>
      </c>
      <c r="E354" s="90">
        <f>C359/6</f>
        <v>4239.583333333333</v>
      </c>
      <c r="F354" s="91">
        <f t="shared" si="20"/>
        <v>41739.583333333336</v>
      </c>
      <c r="G354" s="91"/>
      <c r="H354" s="91">
        <f t="shared" si="21"/>
        <v>77.083333333333329</v>
      </c>
      <c r="I354" s="91">
        <f t="shared" si="22"/>
        <v>41816.666666666672</v>
      </c>
      <c r="K354" s="92">
        <f t="shared" si="23"/>
        <v>925000</v>
      </c>
    </row>
    <row r="355" spans="1:11" ht="15" x14ac:dyDescent="0.25">
      <c r="A355" s="89">
        <v>50830</v>
      </c>
      <c r="B355" s="90">
        <v>0</v>
      </c>
      <c r="C355" s="90">
        <v>0</v>
      </c>
      <c r="D355" s="90">
        <f>B359/12</f>
        <v>37500</v>
      </c>
      <c r="E355" s="90">
        <f>C359/6</f>
        <v>4239.583333333333</v>
      </c>
      <c r="F355" s="91">
        <f t="shared" si="20"/>
        <v>41739.583333333336</v>
      </c>
      <c r="G355" s="91"/>
      <c r="H355" s="91">
        <f t="shared" si="21"/>
        <v>77.083333333333329</v>
      </c>
      <c r="I355" s="91">
        <f t="shared" si="22"/>
        <v>41816.666666666672</v>
      </c>
      <c r="K355" s="92">
        <f t="shared" si="23"/>
        <v>925000</v>
      </c>
    </row>
    <row r="356" spans="1:11" ht="15" x14ac:dyDescent="0.25">
      <c r="A356" s="89">
        <v>50861</v>
      </c>
      <c r="B356" s="90">
        <v>0</v>
      </c>
      <c r="C356" s="90">
        <v>0</v>
      </c>
      <c r="D356" s="90">
        <f>B359/12</f>
        <v>37500</v>
      </c>
      <c r="E356" s="90">
        <f>C359/6</f>
        <v>4239.583333333333</v>
      </c>
      <c r="F356" s="91">
        <f t="shared" si="20"/>
        <v>41739.583333333336</v>
      </c>
      <c r="G356" s="91"/>
      <c r="H356" s="91">
        <f t="shared" si="21"/>
        <v>77.083333333333329</v>
      </c>
      <c r="I356" s="91">
        <f t="shared" si="22"/>
        <v>41816.666666666672</v>
      </c>
      <c r="K356" s="92">
        <f t="shared" si="23"/>
        <v>925000</v>
      </c>
    </row>
    <row r="357" spans="1:11" ht="15" x14ac:dyDescent="0.25">
      <c r="A357" s="89">
        <v>50891</v>
      </c>
      <c r="B357" s="90">
        <v>0</v>
      </c>
      <c r="C357" s="90">
        <v>0</v>
      </c>
      <c r="D357" s="90">
        <f>B359/12</f>
        <v>37500</v>
      </c>
      <c r="E357" s="90">
        <f>C359/6</f>
        <v>4239.583333333333</v>
      </c>
      <c r="F357" s="91">
        <f t="shared" si="20"/>
        <v>41739.583333333336</v>
      </c>
      <c r="G357" s="91"/>
      <c r="H357" s="91">
        <f t="shared" si="21"/>
        <v>77.083333333333329</v>
      </c>
      <c r="I357" s="91">
        <f t="shared" si="22"/>
        <v>41816.666666666672</v>
      </c>
      <c r="K357" s="92">
        <f t="shared" si="23"/>
        <v>925000</v>
      </c>
    </row>
    <row r="358" spans="1:11" ht="15" x14ac:dyDescent="0.25">
      <c r="A358" s="89">
        <v>50922</v>
      </c>
      <c r="B358" s="90">
        <v>0</v>
      </c>
      <c r="C358" s="90">
        <v>0</v>
      </c>
      <c r="D358" s="90">
        <f>B359/12</f>
        <v>37500</v>
      </c>
      <c r="E358" s="90">
        <f>C359/6</f>
        <v>4239.583333333333</v>
      </c>
      <c r="F358" s="91">
        <f t="shared" si="20"/>
        <v>41739.583333333336</v>
      </c>
      <c r="G358" s="91"/>
      <c r="H358" s="91">
        <f t="shared" si="21"/>
        <v>77.083333333333329</v>
      </c>
      <c r="I358" s="91">
        <f t="shared" si="22"/>
        <v>41816.666666666672</v>
      </c>
      <c r="K358" s="92">
        <f t="shared" si="23"/>
        <v>925000</v>
      </c>
    </row>
    <row r="359" spans="1:11" ht="15" x14ac:dyDescent="0.25">
      <c r="A359" s="89">
        <v>50952</v>
      </c>
      <c r="B359" s="90">
        <v>450000</v>
      </c>
      <c r="C359" s="90">
        <v>25437.5</v>
      </c>
      <c r="D359" s="90">
        <f>B359/12</f>
        <v>37500</v>
      </c>
      <c r="E359" s="90">
        <f>C359/6</f>
        <v>4239.583333333333</v>
      </c>
      <c r="F359" s="91">
        <f t="shared" si="20"/>
        <v>41739.583333333336</v>
      </c>
      <c r="G359" s="91"/>
      <c r="H359" s="91">
        <f t="shared" si="21"/>
        <v>39.583333333333336</v>
      </c>
      <c r="I359" s="91">
        <f t="shared" si="22"/>
        <v>41779.166666666672</v>
      </c>
      <c r="J359" s="90">
        <f>SUM(F348:F359)</f>
        <v>500874.99999999994</v>
      </c>
      <c r="K359" s="92">
        <f t="shared" si="23"/>
        <v>925000</v>
      </c>
    </row>
    <row r="360" spans="1:11" ht="15" x14ac:dyDescent="0.25">
      <c r="A360" s="89">
        <v>50983</v>
      </c>
      <c r="B360" s="90">
        <v>0</v>
      </c>
      <c r="C360" s="90">
        <v>0</v>
      </c>
      <c r="D360" s="90">
        <f>B371/12</f>
        <v>39583.333333333336</v>
      </c>
      <c r="E360" s="90">
        <f>C365/6</f>
        <v>2177.0833333333335</v>
      </c>
      <c r="F360" s="91">
        <f t="shared" si="20"/>
        <v>41760.416666666672</v>
      </c>
      <c r="G360" s="91"/>
      <c r="H360" s="91">
        <f t="shared" si="21"/>
        <v>39.583333333333336</v>
      </c>
      <c r="I360" s="91">
        <f t="shared" si="22"/>
        <v>41800.000000000007</v>
      </c>
      <c r="K360" s="92">
        <f t="shared" si="23"/>
        <v>475000</v>
      </c>
    </row>
    <row r="361" spans="1:11" ht="15" x14ac:dyDescent="0.25">
      <c r="A361" s="89">
        <v>51014</v>
      </c>
      <c r="B361" s="90">
        <v>0</v>
      </c>
      <c r="C361" s="90">
        <v>0</v>
      </c>
      <c r="D361" s="90">
        <f>B371/12</f>
        <v>39583.333333333336</v>
      </c>
      <c r="E361" s="90">
        <f>C365/6</f>
        <v>2177.0833333333335</v>
      </c>
      <c r="F361" s="91">
        <f t="shared" si="20"/>
        <v>41760.416666666672</v>
      </c>
      <c r="G361" s="91"/>
      <c r="H361" s="91">
        <f t="shared" si="21"/>
        <v>39.583333333333336</v>
      </c>
      <c r="I361" s="91">
        <f t="shared" si="22"/>
        <v>41800.000000000007</v>
      </c>
      <c r="K361" s="92">
        <f t="shared" si="23"/>
        <v>475000</v>
      </c>
    </row>
    <row r="362" spans="1:11" ht="15" x14ac:dyDescent="0.25">
      <c r="A362" s="89">
        <v>51044</v>
      </c>
      <c r="B362" s="90">
        <v>0</v>
      </c>
      <c r="C362" s="90">
        <v>0</v>
      </c>
      <c r="D362" s="90">
        <f>B371/12</f>
        <v>39583.333333333336</v>
      </c>
      <c r="E362" s="90">
        <f>C365/6</f>
        <v>2177.0833333333335</v>
      </c>
      <c r="F362" s="91">
        <f t="shared" si="20"/>
        <v>41760.416666666672</v>
      </c>
      <c r="G362" s="91"/>
      <c r="H362" s="91">
        <f t="shared" si="21"/>
        <v>39.583333333333336</v>
      </c>
      <c r="I362" s="91">
        <f t="shared" si="22"/>
        <v>41800.000000000007</v>
      </c>
      <c r="K362" s="92">
        <f t="shared" si="23"/>
        <v>475000</v>
      </c>
    </row>
    <row r="363" spans="1:11" ht="15" x14ac:dyDescent="0.25">
      <c r="A363" s="89">
        <v>51075</v>
      </c>
      <c r="B363" s="90">
        <v>0</v>
      </c>
      <c r="C363" s="90">
        <v>0</v>
      </c>
      <c r="D363" s="90">
        <f>B371/12</f>
        <v>39583.333333333336</v>
      </c>
      <c r="E363" s="90">
        <f>C365/6</f>
        <v>2177.0833333333335</v>
      </c>
      <c r="F363" s="91">
        <f t="shared" si="20"/>
        <v>41760.416666666672</v>
      </c>
      <c r="G363" s="91"/>
      <c r="H363" s="91">
        <f t="shared" si="21"/>
        <v>39.583333333333336</v>
      </c>
      <c r="I363" s="91">
        <f t="shared" si="22"/>
        <v>41800.000000000007</v>
      </c>
      <c r="K363" s="92">
        <f t="shared" si="23"/>
        <v>475000</v>
      </c>
    </row>
    <row r="364" spans="1:11" ht="15" x14ac:dyDescent="0.25">
      <c r="A364" s="89">
        <v>51105</v>
      </c>
      <c r="B364" s="90">
        <v>0</v>
      </c>
      <c r="C364" s="90">
        <v>0</v>
      </c>
      <c r="D364" s="90">
        <f>B371/12</f>
        <v>39583.333333333336</v>
      </c>
      <c r="E364" s="90">
        <f>C365/6</f>
        <v>2177.0833333333335</v>
      </c>
      <c r="F364" s="91">
        <f t="shared" si="20"/>
        <v>41760.416666666672</v>
      </c>
      <c r="G364" s="91"/>
      <c r="H364" s="91">
        <f t="shared" si="21"/>
        <v>39.583333333333336</v>
      </c>
      <c r="I364" s="91">
        <f t="shared" si="22"/>
        <v>41800.000000000007</v>
      </c>
      <c r="K364" s="92">
        <f t="shared" si="23"/>
        <v>475000</v>
      </c>
    </row>
    <row r="365" spans="1:11" ht="15" x14ac:dyDescent="0.25">
      <c r="A365" s="89">
        <v>51136</v>
      </c>
      <c r="B365" s="90">
        <v>0</v>
      </c>
      <c r="C365" s="90">
        <v>13062.5</v>
      </c>
      <c r="D365" s="90">
        <f>B371/12</f>
        <v>39583.333333333336</v>
      </c>
      <c r="E365" s="90">
        <f>C365/6</f>
        <v>2177.0833333333335</v>
      </c>
      <c r="F365" s="91">
        <f t="shared" si="20"/>
        <v>41760.416666666672</v>
      </c>
      <c r="G365" s="91"/>
      <c r="H365" s="91">
        <f t="shared" si="21"/>
        <v>39.583333333333336</v>
      </c>
      <c r="I365" s="91">
        <f t="shared" si="22"/>
        <v>41800.000000000007</v>
      </c>
      <c r="K365" s="92">
        <f t="shared" si="23"/>
        <v>475000</v>
      </c>
    </row>
    <row r="366" spans="1:11" ht="15" x14ac:dyDescent="0.25">
      <c r="A366" s="89">
        <v>51167</v>
      </c>
      <c r="B366" s="90">
        <v>0</v>
      </c>
      <c r="C366" s="90">
        <v>0</v>
      </c>
      <c r="D366" s="90">
        <f>B371/12</f>
        <v>39583.333333333336</v>
      </c>
      <c r="E366" s="90">
        <f>C371/6</f>
        <v>2177.0833333333335</v>
      </c>
      <c r="F366" s="91">
        <f t="shared" si="20"/>
        <v>41760.416666666672</v>
      </c>
      <c r="G366" s="91"/>
      <c r="H366" s="91">
        <f t="shared" si="21"/>
        <v>39.583333333333336</v>
      </c>
      <c r="I366" s="91">
        <f t="shared" si="22"/>
        <v>41800.000000000007</v>
      </c>
      <c r="J366" s="93"/>
      <c r="K366" s="92">
        <f t="shared" si="23"/>
        <v>475000</v>
      </c>
    </row>
    <row r="367" spans="1:11" ht="15" x14ac:dyDescent="0.25">
      <c r="A367" s="89">
        <v>51196</v>
      </c>
      <c r="B367" s="90">
        <v>0</v>
      </c>
      <c r="C367" s="90">
        <v>0</v>
      </c>
      <c r="D367" s="90">
        <f>B371/12</f>
        <v>39583.333333333336</v>
      </c>
      <c r="E367" s="90">
        <f>C371/6</f>
        <v>2177.0833333333335</v>
      </c>
      <c r="F367" s="91">
        <f t="shared" si="20"/>
        <v>41760.416666666672</v>
      </c>
      <c r="G367" s="91"/>
      <c r="H367" s="91">
        <f t="shared" si="21"/>
        <v>39.583333333333336</v>
      </c>
      <c r="I367" s="91">
        <f t="shared" si="22"/>
        <v>41800.000000000007</v>
      </c>
      <c r="K367" s="92">
        <f t="shared" si="23"/>
        <v>475000</v>
      </c>
    </row>
    <row r="368" spans="1:11" ht="15" x14ac:dyDescent="0.25">
      <c r="A368" s="89">
        <v>51227</v>
      </c>
      <c r="B368" s="90">
        <v>0</v>
      </c>
      <c r="C368" s="90">
        <v>0</v>
      </c>
      <c r="D368" s="90">
        <f>B371/12</f>
        <v>39583.333333333336</v>
      </c>
      <c r="E368" s="90">
        <f>C371/6</f>
        <v>2177.0833333333335</v>
      </c>
      <c r="F368" s="91">
        <f t="shared" si="20"/>
        <v>41760.416666666672</v>
      </c>
      <c r="G368" s="91"/>
      <c r="H368" s="91">
        <f t="shared" si="21"/>
        <v>39.583333333333336</v>
      </c>
      <c r="I368" s="91">
        <f t="shared" si="22"/>
        <v>41800.000000000007</v>
      </c>
      <c r="K368" s="92">
        <f t="shared" si="23"/>
        <v>475000</v>
      </c>
    </row>
    <row r="369" spans="1:13" ht="15" x14ac:dyDescent="0.25">
      <c r="A369" s="89">
        <v>51257</v>
      </c>
      <c r="B369" s="90">
        <v>0</v>
      </c>
      <c r="C369" s="90">
        <v>0</v>
      </c>
      <c r="D369" s="90">
        <f>B371/12</f>
        <v>39583.333333333336</v>
      </c>
      <c r="E369" s="90">
        <f>C371/6</f>
        <v>2177.0833333333335</v>
      </c>
      <c r="F369" s="91">
        <f t="shared" si="20"/>
        <v>41760.416666666672</v>
      </c>
      <c r="G369" s="91"/>
      <c r="H369" s="91">
        <f t="shared" si="21"/>
        <v>39.583333333333336</v>
      </c>
      <c r="I369" s="91">
        <f t="shared" si="22"/>
        <v>41800.000000000007</v>
      </c>
      <c r="K369" s="92">
        <f t="shared" si="23"/>
        <v>475000</v>
      </c>
    </row>
    <row r="370" spans="1:13" ht="15" x14ac:dyDescent="0.25">
      <c r="A370" s="89">
        <v>51288</v>
      </c>
      <c r="B370" s="90">
        <v>0</v>
      </c>
      <c r="C370" s="90">
        <v>0</v>
      </c>
      <c r="D370" s="90">
        <f>B371/12</f>
        <v>39583.333333333336</v>
      </c>
      <c r="E370" s="90">
        <f>C371/6</f>
        <v>2177.0833333333335</v>
      </c>
      <c r="F370" s="91">
        <f t="shared" si="20"/>
        <v>41760.416666666672</v>
      </c>
      <c r="G370" s="91"/>
      <c r="H370" s="91">
        <f t="shared" si="21"/>
        <v>39.583333333333336</v>
      </c>
      <c r="I370" s="91">
        <f t="shared" si="22"/>
        <v>41800.000000000007</v>
      </c>
      <c r="K370" s="92">
        <f t="shared" si="23"/>
        <v>475000</v>
      </c>
    </row>
    <row r="371" spans="1:13" ht="15" x14ac:dyDescent="0.25">
      <c r="A371" s="89">
        <v>51318</v>
      </c>
      <c r="B371" s="90">
        <v>475000</v>
      </c>
      <c r="C371" s="90">
        <v>13062.5</v>
      </c>
      <c r="D371" s="90">
        <f>B371/12</f>
        <v>39583.333333333336</v>
      </c>
      <c r="E371" s="90">
        <f>C371/6</f>
        <v>2177.0833333333335</v>
      </c>
      <c r="F371" s="91">
        <f t="shared" si="20"/>
        <v>41760.416666666672</v>
      </c>
      <c r="G371" s="91"/>
      <c r="H371" s="91">
        <f t="shared" si="21"/>
        <v>0</v>
      </c>
      <c r="I371" s="91">
        <f t="shared" si="22"/>
        <v>41760.416666666672</v>
      </c>
      <c r="J371" s="90">
        <f>SUM(F360:F371)</f>
        <v>501125.00000000017</v>
      </c>
      <c r="K371" s="92">
        <f t="shared" si="23"/>
        <v>475000</v>
      </c>
    </row>
    <row r="372" spans="1:13" ht="15.75" thickBot="1" x14ac:dyDescent="0.3">
      <c r="B372" s="98">
        <f t="shared" ref="B372:J372" si="24">SUM(B7:B371)</f>
        <v>7355000</v>
      </c>
      <c r="C372" s="98">
        <f t="shared" si="24"/>
        <v>7894087.5</v>
      </c>
      <c r="D372" s="98">
        <f t="shared" si="24"/>
        <v>7354999.9999999981</v>
      </c>
      <c r="E372" s="98">
        <f t="shared" si="24"/>
        <v>7894087.4999999907</v>
      </c>
      <c r="F372" s="99">
        <f t="shared" si="24"/>
        <v>15249087.499999983</v>
      </c>
      <c r="G372" s="99"/>
      <c r="H372" s="99"/>
      <c r="I372" s="99"/>
      <c r="J372" s="98">
        <f t="shared" si="24"/>
        <v>15249087.5</v>
      </c>
      <c r="K372" s="92"/>
      <c r="M372" s="80" t="s">
        <v>40</v>
      </c>
    </row>
    <row r="374" spans="1:13" x14ac:dyDescent="0.2">
      <c r="F374" s="80" t="s">
        <v>40</v>
      </c>
    </row>
  </sheetData>
  <pageMargins left="0.75" right="0.75" top="1" bottom="1" header="0.5" footer="0.5"/>
  <pageSetup scale="46" fitToHeight="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6D5C9C1F52B142831C74D459662320" ma:contentTypeVersion="11" ma:contentTypeDescription="Create a new document." ma:contentTypeScope="" ma:versionID="32f312a5d9f5ff4a669234dcd67a78a2">
  <xsd:schema xmlns:xsd="http://www.w3.org/2001/XMLSchema" xmlns:xs="http://www.w3.org/2001/XMLSchema" xmlns:p="http://schemas.microsoft.com/office/2006/metadata/properties" xmlns:ns2="979b65f8-fa39-482e-b872-311272f62e71" xmlns:ns3="7db3ae5f-f9f8-46d2-8d9d-d56fae380993" targetNamespace="http://schemas.microsoft.com/office/2006/metadata/properties" ma:root="true" ma:fieldsID="ae5aab57cc93ebed2c7eaeee0facc3f2" ns2:_="" ns3:_="">
    <xsd:import namespace="979b65f8-fa39-482e-b872-311272f62e71"/>
    <xsd:import namespace="7db3ae5f-f9f8-46d2-8d9d-d56fae380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b65f8-fa39-482e-b872-311272f62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df547b-fbb5-4a75-ae95-80b26f6576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3ae5f-f9f8-46d2-8d9d-d56fae3809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c5028f8-917e-4e8e-a6b9-13e04d470ba1}" ma:internalName="TaxCatchAll" ma:showField="CatchAllData" ma:web="7db3ae5f-f9f8-46d2-8d9d-d56fae380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9b65f8-fa39-482e-b872-311272f62e71">
      <Terms xmlns="http://schemas.microsoft.com/office/infopath/2007/PartnerControls"/>
    </lcf76f155ced4ddcb4097134ff3c332f>
    <TaxCatchAll xmlns="7db3ae5f-f9f8-46d2-8d9d-d56fae380993" xsi:nil="true"/>
  </documentManagement>
</p:properties>
</file>

<file path=customXml/itemProps1.xml><?xml version="1.0" encoding="utf-8"?>
<ds:datastoreItem xmlns:ds="http://schemas.openxmlformats.org/officeDocument/2006/customXml" ds:itemID="{8CFA15A8-72F4-48C2-87FE-227F1A3CC5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9b65f8-fa39-482e-b872-311272f62e71"/>
    <ds:schemaRef ds:uri="7db3ae5f-f9f8-46d2-8d9d-d56fae380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821A0A-4463-4881-9081-EEE5C6EEE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8B1D75-9DE4-4EBB-B104-43BF80DC4727}">
  <ds:schemaRefs>
    <ds:schemaRef ds:uri="http://schemas.microsoft.com/office/2006/metadata/properties"/>
    <ds:schemaRef ds:uri="http://schemas.microsoft.com/office/infopath/2007/PartnerControls"/>
    <ds:schemaRef ds:uri="979b65f8-fa39-482e-b872-311272f62e71"/>
    <ds:schemaRef ds:uri="7db3ae5f-f9f8-46d2-8d9d-d56fae380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Budget</vt:lpstr>
      <vt:lpstr>Highlights</vt:lpstr>
      <vt:lpstr>Enrollment</vt:lpstr>
      <vt:lpstr>State Sources</vt:lpstr>
      <vt:lpstr>Federal Sources</vt:lpstr>
      <vt:lpstr>Local Sources</vt:lpstr>
      <vt:lpstr>Staffing</vt:lpstr>
      <vt:lpstr>Operating Expenditures</vt:lpstr>
      <vt:lpstr>Bond Intercept Schedule</vt:lpstr>
      <vt:lpstr>Software line items</vt:lpstr>
      <vt:lpstr>'Bond Intercept Schedule'!Print_Area</vt:lpstr>
      <vt:lpstr>Budget!Print_Area</vt:lpstr>
      <vt:lpstr>Staffing!Print_Area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Karger</dc:creator>
  <cp:keywords/>
  <dc:description/>
  <cp:lastModifiedBy>Sarah Siegrist</cp:lastModifiedBy>
  <cp:revision/>
  <dcterms:created xsi:type="dcterms:W3CDTF">2022-01-25T00:01:53Z</dcterms:created>
  <dcterms:modified xsi:type="dcterms:W3CDTF">2025-02-05T23:20:33Z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0x010100A46D5C9C1F52B142831C74D459662320</vt:lpwstr>
  </property>
  <property fmtid="{D5CDD505-2E9C-101B-9397-08002B2CF9AE}" pid="5" name="MediaServiceImageTags">
    <vt:lpwstr/>
  </property>
</Properties>
</file>